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13_ncr:1_{E3AA247B-2CB0-42E9-9848-D611649448B4}" xr6:coauthVersionLast="46" xr6:coauthVersionMax="46" xr10:uidLastSave="{00000000-0000-0000-0000-000000000000}"/>
  <bookViews>
    <workbookView xWindow="-108" yWindow="-108" windowWidth="23256" windowHeight="12576" firstSheet="3" activeTab="3" xr2:uid="{00000000-000D-0000-FFFF-FFFF00000000}"/>
  </bookViews>
  <sheets>
    <sheet name="דוח תנועות" sheetId="28" state="hidden" r:id="rId1"/>
    <sheet name="דוח פניות לאוצר 2021" sheetId="24" state="hidden" r:id="rId2"/>
    <sheet name="מרץ" sheetId="25" state="hidden" r:id="rId3"/>
    <sheet name="אפריל" sheetId="27" r:id="rId4"/>
  </sheets>
  <externalReferences>
    <externalReference r:id="rId5"/>
    <externalReference r:id="rId6"/>
  </externalReferences>
  <definedNames>
    <definedName name="נספח_ב" localSheetId="3">אפריל!#REF!</definedName>
    <definedName name="נספח_ב" localSheetId="2">מרץ!#REF!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7" l="1"/>
  <c r="D14" i="27"/>
  <c r="O27" i="28" l="1"/>
  <c r="F27" i="28"/>
  <c r="O26" i="28"/>
  <c r="F26" i="28"/>
  <c r="N25" i="28"/>
  <c r="O25" i="28" s="1"/>
  <c r="F25" i="28"/>
  <c r="O24" i="28"/>
  <c r="F24" i="28"/>
  <c r="N23" i="28"/>
  <c r="F23" i="28"/>
  <c r="O22" i="28"/>
  <c r="F22" i="28"/>
  <c r="O21" i="28"/>
  <c r="F21" i="28"/>
  <c r="F20" i="28"/>
  <c r="D20" i="28"/>
  <c r="O20" i="28" s="1"/>
  <c r="F19" i="28"/>
  <c r="D19" i="28"/>
  <c r="N18" i="28"/>
  <c r="O18" i="28" s="1"/>
  <c r="F18" i="28"/>
  <c r="F17" i="28"/>
  <c r="D17" i="28"/>
  <c r="O17" i="28" s="1"/>
  <c r="F16" i="28"/>
  <c r="D16" i="28"/>
  <c r="O16" i="28" s="1"/>
  <c r="O15" i="28"/>
  <c r="F15" i="28"/>
  <c r="O14" i="28"/>
  <c r="F13" i="28"/>
  <c r="D13" i="28"/>
  <c r="O13" i="28" s="1"/>
  <c r="F12" i="28"/>
  <c r="D12" i="28"/>
  <c r="O12" i="28" s="1"/>
  <c r="F11" i="28"/>
  <c r="D11" i="28"/>
  <c r="O11" i="28" s="1"/>
  <c r="F10" i="28"/>
  <c r="D10" i="28"/>
  <c r="O10" i="28" s="1"/>
  <c r="F9" i="28"/>
  <c r="D9" i="28"/>
  <c r="O9" i="28" s="1"/>
  <c r="O8" i="28"/>
  <c r="F8" i="28"/>
  <c r="O7" i="28"/>
  <c r="F7" i="28"/>
  <c r="F6" i="28"/>
  <c r="D6" i="28"/>
  <c r="O6" i="28" s="1"/>
  <c r="F5" i="28"/>
  <c r="D5" i="28"/>
  <c r="O5" i="28" s="1"/>
  <c r="O4" i="28"/>
  <c r="F4" i="28"/>
  <c r="O3" i="28"/>
  <c r="F3" i="28"/>
  <c r="O2" i="28"/>
  <c r="F2" i="28"/>
  <c r="D23" i="27"/>
  <c r="D20" i="25"/>
  <c r="D8" i="25"/>
  <c r="D23" i="25"/>
  <c r="O23" i="28" l="1"/>
  <c r="N19" i="28"/>
  <c r="O19" i="28" s="1"/>
  <c r="J11" i="24"/>
  <c r="G11" i="24"/>
  <c r="J10" i="24"/>
  <c r="G10" i="24"/>
  <c r="F9" i="24"/>
  <c r="J9" i="24" s="1"/>
  <c r="F8" i="24"/>
  <c r="G8" i="24" s="1"/>
  <c r="F7" i="24"/>
  <c r="J7" i="24" s="1"/>
  <c r="J6" i="24"/>
  <c r="F6" i="24"/>
  <c r="G6" i="24" s="1"/>
  <c r="J5" i="24"/>
  <c r="G5" i="24"/>
  <c r="I4" i="24"/>
  <c r="J4" i="24" s="1"/>
  <c r="G4" i="24"/>
  <c r="I3" i="24"/>
  <c r="J3" i="24" s="1"/>
  <c r="G3" i="24"/>
  <c r="J2" i="24"/>
  <c r="G2" i="24"/>
  <c r="N28" i="28" l="1"/>
  <c r="D22" i="25"/>
  <c r="D25" i="25" s="1"/>
  <c r="G9" i="24"/>
  <c r="J8" i="24"/>
  <c r="G7" i="24"/>
</calcChain>
</file>

<file path=xl/sharedStrings.xml><?xml version="1.0" encoding="utf-8"?>
<sst xmlns="http://schemas.openxmlformats.org/spreadsheetml/2006/main" count="219" uniqueCount="157">
  <si>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</si>
  <si>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</si>
  <si>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</si>
  <si>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</si>
  <si>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</si>
  <si>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</si>
  <si>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</si>
  <si>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</si>
  <si>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</si>
  <si>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</si>
  <si>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</si>
  <si>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</si>
  <si>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</si>
  <si>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</si>
  <si>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</si>
  <si>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</si>
  <si>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</si>
  <si>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</si>
  <si>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</si>
  <si>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</si>
  <si>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</si>
  <si>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</si>
  <si>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</si>
  <si>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שיווק</t>
  </si>
  <si>
    <t>ביקורת פרויקטים</t>
  </si>
  <si>
    <t>המערך הטכנולוגי</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</si>
  <si>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</si>
  <si>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</si>
  <si>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</si>
  <si>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</si>
  <si>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</si>
  <si>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</si>
  <si>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</si>
  <si>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</si>
  <si>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</si>
  <si>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</si>
  <si>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</si>
  <si>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</si>
  <si>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</si>
  <si>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</si>
  <si>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</si>
  <si>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דיור</t>
  </si>
  <si>
    <t>23.02.2021</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</si>
  <si>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</si>
  <si>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</si>
  <si>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</si>
  <si>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</si>
  <si>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</si>
  <si>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</si>
  <si>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</si>
  <si>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</si>
  <si>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</si>
  <si>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</si>
  <si>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דוח החרגות לחודש: מרץ 2021</t>
  </si>
  <si>
    <t>פרסומי חודש 03/2021 בהתאם להוראות סעיף 49(ב) לחוק יסודות התקציב, תשמ"ה-1985</t>
  </si>
  <si>
    <t>01.12.2020</t>
  </si>
  <si>
    <t>סאני תקשורת</t>
  </si>
  <si>
    <t>הגדלת התקשרות ל 2021</t>
  </si>
  <si>
    <t>כנס מכון הייצוא - השתתפות הרשות</t>
  </si>
  <si>
    <t>מלמ</t>
  </si>
  <si>
    <t>05.01.2021</t>
  </si>
  <si>
    <t>עיתון הארץ</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</si>
  <si>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</si>
  <si>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</si>
  <si>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</si>
  <si>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</si>
  <si>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</si>
  <si>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</si>
  <si>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</si>
  <si>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</si>
  <si>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</si>
  <si>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</si>
  <si>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</si>
  <si>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אחזקה ושיפור מערכת בודקים</t>
  </si>
  <si>
    <t>דמי חבר בארגונים</t>
  </si>
  <si>
    <t>מערכת שירות לקוחות- הארכת התקשרות</t>
  </si>
  <si>
    <t xml:space="preserve">מיקור חוץ- שירותי מחשוב </t>
  </si>
  <si>
    <t xml:space="preserve">שירותי מידע </t>
  </si>
  <si>
    <t xml:space="preserve">שירותי תרגום </t>
  </si>
  <si>
    <t xml:space="preserve">שירותי מחשוב </t>
  </si>
  <si>
    <t>שי לפסח</t>
  </si>
  <si>
    <t>שירותי והוצאות שיווק</t>
  </si>
  <si>
    <t>הדרכת עובדים  וימי עיון</t>
  </si>
  <si>
    <t>שכירות- רבעון 2</t>
  </si>
  <si>
    <t>ביטוח אלמנטרי רשות החדשנות- 2021</t>
  </si>
  <si>
    <t>הוצאות משרדיות</t>
  </si>
  <si>
    <t xml:space="preserve">רכש מכשירים סלולאריים </t>
  </si>
  <si>
    <t xml:space="preserve">רישוי מערכת CRM </t>
  </si>
  <si>
    <t xml:space="preserve">פיתוח ויישום מערכת CRM </t>
  </si>
  <si>
    <t>23.00</t>
  </si>
  <si>
    <t>לפמ</t>
  </si>
  <si>
    <t>פעילות שיווקית עבור הרשות- 2021</t>
  </si>
  <si>
    <t>ליצ'י תרגומים</t>
  </si>
  <si>
    <t>הראל מחשבים</t>
  </si>
  <si>
    <t xml:space="preserve">מינוי דיגיטאלי עבור מחלקת אסטרטגיה </t>
  </si>
  <si>
    <t>פנייה 35092 מיום 24.03.2021</t>
  </si>
  <si>
    <t xml:space="preserve">מיקוד </t>
  </si>
  <si>
    <t>אבטחה 2021</t>
  </si>
  <si>
    <t>רדיו קול חי</t>
  </si>
  <si>
    <t>שתפ עבור שבוע היי טק החרדי</t>
  </si>
  <si>
    <t xml:space="preserve">יוסף תשובה </t>
  </si>
  <si>
    <t xml:space="preserve">פריטים ליום העצמאות </t>
  </si>
  <si>
    <t>חבר תרגומים</t>
  </si>
  <si>
    <t>בנק תרגומים</t>
  </si>
  <si>
    <t xml:space="preserve">ארטפלס </t>
  </si>
  <si>
    <t xml:space="preserve">הזמנת קפה תה וכוסות חד פעמיות </t>
  </si>
  <si>
    <t>מגה קמעונאות</t>
  </si>
  <si>
    <t>האישור ניתן ליינות ביתן אותה רכשה מגה עבור מוצרי מטבחון</t>
  </si>
  <si>
    <t>תמורות</t>
  </si>
  <si>
    <t>הערכת בודקים 2021</t>
  </si>
  <si>
    <t>18.04</t>
  </si>
  <si>
    <t>הערכת עובדים 2021</t>
  </si>
  <si>
    <t>הוספת מודול הצפנת סיסמאות במערכת הדרופל</t>
  </si>
  <si>
    <t xml:space="preserve">כהן צמח ויקטוריה </t>
  </si>
  <si>
    <t>קריינות המרכזיה לפסח</t>
  </si>
  <si>
    <t xml:space="preserve"> 232.83 </t>
  </si>
  <si>
    <t>קומפיוטרגארד</t>
  </si>
  <si>
    <t>מחזיק תג לעובדי הרשות</t>
  </si>
  <si>
    <t>תים נטקום</t>
  </si>
  <si>
    <t xml:space="preserve">החלפת מחשב לצילה </t>
  </si>
  <si>
    <t xml:space="preserve">חנה טייב </t>
  </si>
  <si>
    <t>צילומי סטילס ועריכת וידאו- בנק שעות</t>
  </si>
  <si>
    <t>רכישה של 7 מחשבים ניידים- עפי מחירון חשכל</t>
  </si>
  <si>
    <t>החלפת 15 מכשירים ניידים- עפי מחירון חשכל</t>
  </si>
  <si>
    <t>דרושים IL</t>
  </si>
  <si>
    <t>פרסום משרות דרושיםן</t>
  </si>
  <si>
    <t xml:space="preserve">מינהל הדיור </t>
  </si>
  <si>
    <t xml:space="preserve">שכירות רבעון 1+2 ל 2021 </t>
  </si>
  <si>
    <t>השתתפות בשכר דירה</t>
  </si>
  <si>
    <t>דבי משה</t>
  </si>
  <si>
    <t>הרחבת ההתקשרות</t>
  </si>
  <si>
    <t>07.04.2021</t>
  </si>
  <si>
    <t>המקויוניקיישנס</t>
  </si>
  <si>
    <t>הרחבת ההתקשרות עד יציאה למכרז</t>
  </si>
  <si>
    <t>חברת החשמל</t>
  </si>
  <si>
    <t>שלמה סיקס</t>
  </si>
  <si>
    <t>התקשרות עבור שירותי ליסינג</t>
  </si>
  <si>
    <t>שכר</t>
  </si>
  <si>
    <t>משאבים</t>
  </si>
  <si>
    <t>דולב אלקטרומכניקה טכנולוגיה והנדסה בע"מ</t>
  </si>
  <si>
    <t xml:space="preserve">בדיקת קרינה קומה 3 </t>
  </si>
  <si>
    <t>דוח החרגות לחודש: אפריל 2021</t>
  </si>
  <si>
    <t>פרסומי חודש 04/2021 בהתאם להוראות סעיף 49(ב) לחוק יסודות התקציב, תשמ"ה-1985</t>
  </si>
  <si>
    <t>שכירות מבנה, רבעונים 1+2 לשנת 2021</t>
  </si>
  <si>
    <t xml:space="preserve">רכישת ציוד מחשוב </t>
  </si>
  <si>
    <t>מערכת הערכת בודקים- הארכת התקשרות</t>
  </si>
  <si>
    <t>מערכת הערכת עובדים- הארכת התקשרות</t>
  </si>
  <si>
    <t>פרסום משרות דרושים</t>
  </si>
  <si>
    <t>פעילות רווחה</t>
  </si>
  <si>
    <t>הרחבת והארכת התקשרות עם חברת החשמל לשנת 2021</t>
  </si>
  <si>
    <t>רכישת מכשירים סלולאריים- עפי הסכם חשכ"ל</t>
  </si>
  <si>
    <t>תרגומים</t>
  </si>
  <si>
    <t>אבטחת מבנה- גטי</t>
  </si>
  <si>
    <t xml:space="preserve">עיתון הארץ מינוי דיגיאלי </t>
  </si>
  <si>
    <t>כיבוד - הארכת התקשרות לשנת 2021</t>
  </si>
  <si>
    <t>התקשרות עם חברת רכבי ליסינג</t>
  </si>
  <si>
    <t xml:space="preserve">פעילויות שיווק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</si>
</sst>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5" x14ac:knownFonts="1">
    <font>
      <sz val="11"/>
      <color theme="1"/>
      <name val="Arial"/>
      <family val="2"/>
      <charset val="177"/>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1"/>
      <color theme="1"/>
      <name val="Arial"/>
      <family val="2"/>
      <scheme val="minor"/>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b/>
      <sz val="6"/>
      <color theme="1"/>
      <name val="Arial"/>
      <family val="2"/>
      <scheme val="minor"/>
    </font>
    <font>
      <sz val="11"/>
      <color rgb="FFFF0000"/>
      <name val="Arial"/>
      <family val="2"/>
      <scheme val="minor"/>
    </font>
  </fonts>
  <fills count="4">
    <fill>
      <patternFill patternType="none"/>
    </fill>
    <fill>
      <patternFill patternType="gray125"/>
    </fill>
    <fill>
      <patternFill patternType="solid">
        <fgColor rgb="FFFFCCCC"/>
        <bgColor indexed="64"/>
      </patternFill>
    </fill>
    <fill>
      <patternFill patternType="solid">
        <fgColor rgb="FF00CC9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2">
    <xf numFmtId="0" fontId="0" fillId="0" borderId="0"/>
    <xf numFmtId="43" fontId="12" fillId="0" borderId="0" applyFont="0" applyFill="0" applyBorder="0" applyAlignment="0" applyProtection="0"/>
    <xf numFmtId="0" fontId="1" fillId="0" borderId="0"/>
    <xf numFmtId="44" fontId="12" fillId="0" borderId="0" applyFont="0" applyFill="0" applyBorder="0" applyAlignment="0" applyProtection="0"/>
    <xf numFmtId="0" fontId="13" fillId="0" borderId="0"/>
    <xf numFmtId="0" fontId="14" fillId="0" borderId="0"/>
    <xf numFmtId="43" fontId="12" fillId="0" borderId="0" applyFont="0" applyFill="0" applyBorder="0" applyAlignment="0" applyProtection="0"/>
    <xf numFmtId="0" fontId="1" fillId="0" borderId="0"/>
    <xf numFmtId="0" fontId="16" fillId="0" borderId="0"/>
    <xf numFmtId="0" fontId="18" fillId="0" borderId="0"/>
    <xf numFmtId="0" fontId="19" fillId="0" borderId="0"/>
    <xf numFmtId="9" fontId="12" fillId="0" borderId="0" applyFont="0" applyFill="0" applyBorder="0" applyAlignment="0" applyProtection="0"/>
  </cellStyleXfs>
  <cellXfs count="71">
    <xf numFmtId="0" fontId="0" fillId="0" borderId="0" xfId="0"/>
    <xf numFmtId="0" fontId="3" fillId="0" borderId="0" xfId="0" applyFont="1"/>
    <xf numFmtId="0" fontId="4" fillId="0" borderId="0" xfId="0" applyFont="1" applyAlignment="1">
      <alignment vertical="center" readingOrder="2"/>
    </xf>
    <xf numFmtId="0" fontId="5" fillId="0" borderId="0" xfId="0" applyFont="1"/>
    <xf numFmtId="0" fontId="6" fillId="0" borderId="2" xfId="0" applyFont="1" applyBorder="1" applyAlignment="1">
      <alignment horizontal="right" vertical="center" readingOrder="2"/>
    </xf>
    <xf numFmtId="0" fontId="7" fillId="0" borderId="5" xfId="0" applyFont="1" applyBorder="1" applyAlignment="1">
      <alignment vertical="center" readingOrder="2"/>
    </xf>
    <xf numFmtId="0" fontId="8" fillId="0" borderId="4" xfId="0" applyFont="1" applyBorder="1" applyAlignment="1">
      <alignment vertical="center" readingOrder="2"/>
    </xf>
    <xf numFmtId="0" fontId="8" fillId="0" borderId="5" xfId="0" applyFont="1" applyBorder="1" applyAlignment="1">
      <alignment vertical="center" readingOrder="2"/>
    </xf>
    <xf numFmtId="0" fontId="9" fillId="0" borderId="4" xfId="0" applyFont="1" applyBorder="1"/>
    <xf numFmtId="0" fontId="9" fillId="0" borderId="5" xfId="0" applyFont="1" applyBorder="1"/>
    <xf numFmtId="0" fontId="5" fillId="0" borderId="6" xfId="0" applyFont="1" applyBorder="1"/>
    <xf numFmtId="0" fontId="5"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xf numFmtId="0" fontId="5" fillId="0" borderId="0" xfId="0" applyFont="1" applyAlignment="1">
      <alignment wrapText="1"/>
    </xf>
    <xf numFmtId="43" fontId="5" fillId="0" borderId="0" xfId="1" applyFont="1"/>
    <xf numFmtId="0" fontId="2" fillId="0" borderId="0" xfId="0" applyFont="1"/>
    <xf numFmtId="0" fontId="6" fillId="0" borderId="3" xfId="0" applyFont="1" applyBorder="1" applyAlignment="1">
      <alignment horizontal="center" vertical="center" wrapText="1" readingOrder="2"/>
    </xf>
    <xf numFmtId="0" fontId="5" fillId="0" borderId="0" xfId="0" applyFont="1" applyAlignment="1">
      <alignment horizontal="right" wrapText="1" readingOrder="2"/>
    </xf>
    <xf numFmtId="0" fontId="15" fillId="0" borderId="4" xfId="0" applyFont="1" applyBorder="1" applyAlignment="1">
      <alignment vertical="center" readingOrder="2"/>
    </xf>
    <xf numFmtId="43" fontId="8" fillId="0" borderId="0" xfId="1" applyFont="1" applyFill="1" applyAlignment="1">
      <alignment wrapText="1"/>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0" fillId="0" borderId="0" xfId="0" applyFont="1" applyAlignment="1">
      <alignment wrapText="1"/>
    </xf>
    <xf numFmtId="43" fontId="20"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1" fillId="3" borderId="8" xfId="0" applyNumberFormat="1"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43" fontId="21" fillId="3" borderId="10" xfId="1" applyFont="1" applyFill="1" applyBorder="1" applyAlignment="1">
      <alignment horizontal="center" vertical="center" wrapText="1"/>
    </xf>
    <xf numFmtId="4" fontId="21" fillId="3" borderId="11" xfId="1" applyNumberFormat="1" applyFont="1" applyFill="1" applyBorder="1" applyAlignment="1">
      <alignment horizontal="center" vertical="center" wrapText="1"/>
    </xf>
    <xf numFmtId="43" fontId="23" fillId="2" borderId="0" xfId="1" applyFont="1" applyFill="1" applyAlignment="1">
      <alignment horizontal="center" vertical="center" wrapText="1"/>
    </xf>
    <xf numFmtId="9" fontId="23" fillId="2" borderId="0" xfId="11" applyFont="1" applyFill="1" applyAlignment="1">
      <alignment horizontal="center" vertical="center" wrapText="1"/>
    </xf>
    <xf numFmtId="0" fontId="2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43" fontId="0" fillId="0" borderId="1" xfId="1" applyFont="1" applyBorder="1" applyAlignment="1">
      <alignment wrapText="1"/>
    </xf>
    <xf numFmtId="43" fontId="0" fillId="0" borderId="1" xfId="0" applyNumberFormat="1" applyBorder="1" applyAlignment="1">
      <alignment wrapText="1"/>
    </xf>
    <xf numFmtId="4" fontId="2" fillId="0" borderId="1" xfId="1" applyNumberFormat="1" applyFont="1" applyBorder="1" applyAlignment="1">
      <alignment wrapText="1"/>
    </xf>
    <xf numFmtId="0" fontId="2" fillId="0" borderId="1" xfId="0" applyFont="1" applyBorder="1" applyAlignment="1">
      <alignment wrapText="1"/>
    </xf>
    <xf numFmtId="43" fontId="2" fillId="0" borderId="1" xfId="1" applyFont="1" applyBorder="1" applyAlignment="1">
      <alignment wrapText="1"/>
    </xf>
    <xf numFmtId="0" fontId="2" fillId="0" borderId="0" xfId="0" applyFont="1" applyAlignment="1">
      <alignment wrapText="1"/>
    </xf>
    <xf numFmtId="0" fontId="24" fillId="0" borderId="1" xfId="0" applyFont="1" applyBorder="1" applyAlignment="1">
      <alignment wrapText="1"/>
    </xf>
    <xf numFmtId="43" fontId="24" fillId="0" borderId="1" xfId="1" applyFont="1" applyBorder="1" applyAlignment="1">
      <alignment wrapText="1"/>
    </xf>
    <xf numFmtId="43" fontId="24" fillId="0" borderId="1" xfId="0" applyNumberFormat="1" applyFont="1" applyBorder="1" applyAlignment="1">
      <alignment wrapText="1"/>
    </xf>
    <xf numFmtId="0" fontId="24" fillId="0" borderId="1" xfId="0" applyFont="1" applyBorder="1"/>
    <xf numFmtId="0" fontId="24" fillId="0" borderId="0" xfId="0" applyFont="1" applyAlignment="1">
      <alignment wrapText="1"/>
    </xf>
    <xf numFmtId="0" fontId="17" fillId="0" borderId="0" xfId="0" applyFont="1" applyAlignment="1">
      <alignment wrapText="1"/>
    </xf>
    <xf numFmtId="2" fontId="2" fillId="0" borderId="8" xfId="0" applyNumberFormat="1" applyFont="1" applyBorder="1" applyAlignment="1">
      <alignment wrapText="1"/>
    </xf>
    <xf numFmtId="0" fontId="2" fillId="0" borderId="8" xfId="0" applyFont="1" applyBorder="1" applyAlignment="1">
      <alignment wrapText="1"/>
    </xf>
    <xf numFmtId="43" fontId="2" fillId="0" borderId="8" xfId="1" applyFont="1" applyBorder="1" applyAlignment="1">
      <alignment wrapText="1"/>
    </xf>
    <xf numFmtId="43" fontId="2" fillId="0" borderId="8" xfId="0" applyNumberFormat="1" applyFont="1" applyBorder="1" applyAlignment="1">
      <alignment wrapText="1"/>
    </xf>
    <xf numFmtId="0" fontId="2" fillId="0" borderId="1" xfId="0" applyFont="1" applyBorder="1"/>
    <xf numFmtId="2" fontId="24" fillId="0" borderId="8" xfId="0" applyNumberFormat="1" applyFont="1" applyBorder="1" applyAlignment="1">
      <alignment wrapText="1"/>
    </xf>
    <xf numFmtId="0" fontId="24" fillId="0" borderId="8" xfId="0" applyFont="1" applyBorder="1" applyAlignment="1">
      <alignment wrapText="1"/>
    </xf>
    <xf numFmtId="43" fontId="24" fillId="0" borderId="8" xfId="1" applyFont="1" applyBorder="1" applyAlignment="1">
      <alignment wrapText="1"/>
    </xf>
    <xf numFmtId="43" fontId="24" fillId="0" borderId="8" xfId="0" applyNumberFormat="1" applyFont="1" applyBorder="1" applyAlignment="1">
      <alignment wrapText="1"/>
    </xf>
    <xf numFmtId="4" fontId="24" fillId="0" borderId="1" xfId="1" applyNumberFormat="1" applyFont="1" applyBorder="1" applyAlignment="1">
      <alignment wrapText="1"/>
    </xf>
    <xf numFmtId="0" fontId="24" fillId="0" borderId="0" xfId="0" applyFont="1"/>
    <xf numFmtId="0" fontId="24" fillId="0" borderId="12" xfId="0" applyFont="1" applyBorder="1" applyAlignment="1">
      <alignment wrapText="1"/>
    </xf>
    <xf numFmtId="43" fontId="24" fillId="0" borderId="12" xfId="1" applyFont="1" applyBorder="1" applyAlignment="1">
      <alignment wrapText="1"/>
    </xf>
    <xf numFmtId="0" fontId="24" fillId="0" borderId="8" xfId="0" applyFont="1" applyFill="1" applyBorder="1" applyAlignment="1">
      <alignment wrapText="1"/>
    </xf>
    <xf numFmtId="4" fontId="24" fillId="0" borderId="8" xfId="0" applyNumberFormat="1" applyFont="1" applyBorder="1" applyAlignment="1">
      <alignment wrapText="1"/>
    </xf>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Percent" xfId="11" builtinId="5"/>
  </cellStyles>
  <dxfs count="51">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
      <alignment horizontal="center" vertical="center" textRotation="0" wrapText="1" indent="0" justifyLastLine="0" shrinkToFit="0" readingOrder="0"/>
    </dxf>
    <dxf>
      <font>
        <strike val="0"/>
        <outline val="0"/>
        <shadow val="0"/>
        <u val="none"/>
        <vertAlign val="baseline"/>
        <sz val="11"/>
        <color rgb="FFFF0000"/>
        <name val="Arial"/>
        <family val="2"/>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FF0000"/>
        <name val="Arial"/>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rgb="FFFF0000"/>
        <name val="Arial"/>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rgb="FFFF0000"/>
        <name val="Arial"/>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rgb="FFFF0000"/>
        <name val="Arial"/>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rgb="FFFF0000"/>
        <name val="Arial"/>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rgb="FFFF0000"/>
        <name val="Arial"/>
        <family val="2"/>
        <scheme val="minor"/>
      </font>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alignment textRotation="0" wrapText="1" indent="0" justifyLastLine="0" shrinkToFit="0"/>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28" totalsRowCount="1" headerRowDxfId="50" dataDxfId="49" totalsRowDxfId="48" totalsRowBorderDxfId="47" headerRowCellStyle="Comma">
  <autoFilter ref="A1:O27" xr:uid="{00000000-0009-0000-0100-000001000000}">
    <filterColumn colId="8">
      <filters>
        <filter val="38300191"/>
      </filters>
    </filterColumn>
    <filterColumn colId="10">
      <filters>
        <filter val="36901024"/>
      </filters>
    </filterColumn>
  </autoFilter>
  <tableColumns count="15">
    <tableColumn id="1" xr3:uid="{3CB35F64-4895-4E43-A017-CD430BFD0AAC}" name="23.00" dataDxfId="46" totalsRowDxfId="45"/>
    <tableColumn id="2" xr3:uid="{E0EF0061-9D6E-4EA0-951A-543A78971054}" name="שם הספק " dataDxfId="44" totalsRowDxfId="43"/>
    <tableColumn id="3" xr3:uid="{B9494E87-B48A-45EB-BFE4-02C4CE5A79ED}" name="מטרת ההתקשרות " dataDxfId="42" totalsRowDxfId="41"/>
    <tableColumn id="4" xr3:uid="{AE2BF67C-A96D-48C8-81E4-15985CF61F94}" name="סכום מבוקש בש&quot;ח כולל מעמ!!" dataDxfId="40" totalsRowDxfId="39" dataCellStyle="Comma" totalsRowCellStyle="Comma">
      <calculatedColumnFormula>4149.66*4.1</calculatedColumnFormula>
    </tableColumn>
    <tableColumn id="5" xr3:uid="{0D975C3F-2880-4EE3-BB57-E775998ACF5D}" name="סכום התקשרות מצטבר מול הספק (אם רלוונטי)" dataDxfId="38" totalsRowDxfId="37" dataCellStyle="Comma" totalsRowCellStyle="Comma"/>
    <tableColumn id="6" xr3:uid="{5DFC74E0-289F-44A7-B747-6D26434BF84E}" name="יתרה מתקרת ההתקשרות" dataDxfId="36" totalsRowDxfId="35">
      <calculatedColumnFormula>$P$1-E2</calculatedColumnFormula>
    </tableColumn>
    <tableColumn id="7" xr3:uid="{8C752036-2A0B-4CE3-9EE1-1EFDEC1BDD08}" name="אושר בוועדת חריגים (אם כן, לציין מס פנייה ותאריך אישור)" dataDxfId="34" totalsRowDxfId="33"/>
    <tableColumn id="8" xr3:uid="{42CB213B-9B58-46B5-A4C3-E7AC44F545E6}" name="אושר בוועדת מכרזים (אם כן, לציין תאריך דיון)" dataDxfId="32" totalsRowDxfId="31"/>
    <tableColumn id="9" xr3:uid="{C5A2CEF8-45CD-4DC3-8CEB-BA3719BB839E}" name="תקנה/ פריט התחייבות" dataDxfId="30" totalsRowDxfId="29"/>
    <tableColumn id="10" xr3:uid="{E8696322-7DB9-4E4F-8FEC-CCFC7C1E0DED}" name="שם תקנה" dataDxfId="28" totalsRowDxfId="27"/>
    <tableColumn id="11" xr3:uid="{990FCFAF-4B96-49B6-9ABC-1EC26E0D458A}" name="מרכז קרנות" dataDxfId="26" totalsRowDxfId="25"/>
    <tableColumn id="12" xr3:uid="{D2685F56-9559-4BCB-9C42-E1783937F29B}" name="שם מרכז קרנות" dataDxfId="24" totalsRowDxfId="23"/>
    <tableColumn id="16" xr3:uid="{47B6589E-02A1-4CBF-8185-5C0BFBF8E50F}" name="נוצרה/ הוגדלה התחייבות מספר" dataDxfId="22" totalsRowDxfId="21"/>
    <tableColumn id="17" xr3:uid="{E8C11108-0D61-45B2-B9EC-2B58AB4CBE93}" name="שווי שורה/ הגדלה " totalsRowFunction="sum" dataDxfId="20" totalsRowDxfId="19" dataCellStyle="Comma" totalsRowCellStyle="Comma"/>
    <tableColumn id="18" xr3:uid="{357D6823-DA9C-4E5F-9140-B02D30CFCD74}" name="הפרש יתרה שלא נוצלה מהחרגה" dataDxfId="18" totalsRowDxfId="17">
      <calculatedColumnFormula>Table1[[#This Row],[סכום התקשרות מצטבר מול הספק (אם רלוונטי)]]-Table1[[#This Row],[שווי שורה/ הגדלה ]]</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1" totalsRowShown="0" headerRowDxfId="16">
  <autoFilter ref="A1:J11"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CellStyle="Comma">
      <calculatedColumnFormula>טבלה3[[#This Row],[סכום מבוקש]]-טבלה3[[#This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CellStyle="Comma">
      <calculatedColumnFormula>טבלה3[[#This Row],[סכום מאושר]]-טבלה3[[#This Row],[ניצול מתוך הפנייה ]]</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440526-B9AB-46F6-ACCD-5131F6BBFE5D}" name="Table133232323524" displayName="Table133232323524" ref="A7:D25" totalsRowShown="0" headerRowDxfId="15">
  <autoFilter ref="A7:D25" xr:uid="{00000000-0009-0000-0100-000001000000}"/>
  <sortState xmlns:xlrd2="http://schemas.microsoft.com/office/spreadsheetml/2017/richdata2" ref="A8:D25">
    <sortCondition ref="D7:D25"/>
  </sortState>
  <tableColumns count="4">
    <tableColumn id="1" xr3:uid="{CEE9DF5E-6710-4864-B855-648B722090D8}" name="מס" dataDxfId="14" totalsRowDxfId="13"/>
    <tableColumn id="2" xr3:uid="{54326CE5-6FEA-4A6B-A91A-2DFB98BE6142}" name="ספק" dataDxfId="12" totalsRowDxfId="11"/>
    <tableColumn id="3" xr3:uid="{CE8285AB-A539-49F6-A434-309672B5002C}" name="נושא ההתקשרות" dataDxfId="10" totalsRowDxfId="9"/>
    <tableColumn id="4" xr3:uid="{6ECB58C1-5496-44A2-A8A2-EF77B0AAC9FA}" name="סכום ההתקשרות (סכום ההתקשרות ולא סכום המזומן)" dataDxfId="8"/>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D3E4F3-6EB0-4FFE-9132-525414633BA8}" name="Table1332323235242" displayName="Table1332323235242" ref="A7:D23" totalsRowShown="0" headerRowDxfId="7">
  <autoFilter ref="A7:D23" xr:uid="{00000000-0009-0000-0100-000001000000}"/>
  <sortState xmlns:xlrd2="http://schemas.microsoft.com/office/spreadsheetml/2017/richdata2" ref="A8:D23">
    <sortCondition ref="D7:D23"/>
  </sortState>
  <tableColumns count="4">
    <tableColumn id="1" xr3:uid="{D7FB13DF-1851-4D03-BB43-7FC57FBFFD7D}" name="מס" dataDxfId="6" totalsRowDxfId="5"/>
    <tableColumn id="2" xr3:uid="{3C3D2B91-CA30-4117-9B1B-ADE96839F138}" name="ספק" dataDxfId="4" totalsRowDxfId="3"/>
    <tableColumn id="3" xr3:uid="{D2C05CEB-027F-4AE4-9092-2FEEAFF4F162}" name="נושא ההתקשרות" dataDxfId="2" totalsRowDxfId="1"/>
    <tableColumn id="4" xr3:uid="{B9F34B31-FCE3-4D8A-AAD6-1188FF8541E3}" name="סכום ההתקשרות (סכום ההתקשרות ולא סכום המזומן)"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T28"/>
  <sheetViews>
    <sheetView rightToLeft="1" zoomScale="80" zoomScaleNormal="80" workbookViewId="0">
      <pane ySplit="1" topLeftCell="A2" activePane="bottomLeft" state="frozen"/>
      <selection pane="bottomLeft" activeCell="A2" sqref="A2:XFD2"/>
    </sheetView>
  </sheetViews>
  <sheetFormatPr defaultColWidth="9" defaultRowHeight="14.25" x14ac:dyDescent="0.2"/>
  <cols>
    <col min="1" max="1" width="6.875" style="43" customWidth="1"/>
    <col min="2" max="2" width="22.5" style="22" customWidth="1"/>
    <col min="3" max="3" width="31.5" style="22" customWidth="1"/>
    <col min="4" max="4" width="15.75" style="26" customWidth="1"/>
    <col min="5" max="5" width="15.125" style="26" hidden="1" customWidth="1"/>
    <col min="6" max="6" width="12.625" style="22" hidden="1" customWidth="1"/>
    <col min="7" max="7" width="16.25" style="22" hidden="1" customWidth="1"/>
    <col min="8" max="8" width="18.75" style="22" hidden="1" customWidth="1"/>
    <col min="9" max="12" width="18.75" style="22" customWidth="1"/>
    <col min="13" max="13" width="21.125" style="22" bestFit="1" customWidth="1"/>
    <col min="14" max="14" width="14" style="26" bestFit="1" customWidth="1"/>
    <col min="15" max="15" width="18" style="42" bestFit="1" customWidth="1"/>
    <col min="16" max="16" width="8.625" style="22" customWidth="1"/>
    <col min="17" max="17" width="9" style="22"/>
    <col min="18" max="19" width="13.5" style="22" hidden="1" customWidth="1"/>
    <col min="20" max="20" width="11.375" style="22" hidden="1" customWidth="1"/>
    <col min="21" max="16384" width="9" style="22"/>
  </cols>
  <sheetData>
    <row r="1" spans="1:20" s="41" customFormat="1" ht="45" x14ac:dyDescent="0.2">
      <c r="A1" s="34" t="s">
        <v>89</v>
      </c>
      <c r="B1" s="35" t="s">
        <v>6</v>
      </c>
      <c r="C1" s="36" t="s">
        <v>62</v>
      </c>
      <c r="D1" s="37" t="s">
        <v>7</v>
      </c>
      <c r="E1" s="37" t="s">
        <v>63</v>
      </c>
      <c r="F1" s="36" t="s">
        <v>64</v>
      </c>
      <c r="G1" s="36" t="s">
        <v>65</v>
      </c>
      <c r="H1" s="36" t="s">
        <v>66</v>
      </c>
      <c r="I1" s="36" t="s">
        <v>8</v>
      </c>
      <c r="J1" s="36" t="s">
        <v>9</v>
      </c>
      <c r="K1" s="36" t="s">
        <v>10</v>
      </c>
      <c r="L1" s="36" t="s">
        <v>11</v>
      </c>
      <c r="M1" s="36" t="s">
        <v>67</v>
      </c>
      <c r="N1" s="37" t="s">
        <v>68</v>
      </c>
      <c r="O1" s="38" t="s">
        <v>69</v>
      </c>
      <c r="P1" s="39">
        <v>200000</v>
      </c>
      <c r="Q1" s="40">
        <v>0.17</v>
      </c>
      <c r="R1" s="41" t="s">
        <v>70</v>
      </c>
      <c r="S1" s="41" t="s">
        <v>71</v>
      </c>
      <c r="T1" s="41" t="s">
        <v>72</v>
      </c>
    </row>
    <row r="2" spans="1:20" s="54" customFormat="1" x14ac:dyDescent="0.2">
      <c r="A2" s="61">
        <v>5.04</v>
      </c>
      <c r="B2" s="62" t="s">
        <v>61</v>
      </c>
      <c r="C2" s="62" t="s">
        <v>94</v>
      </c>
      <c r="D2" s="63">
        <v>660</v>
      </c>
      <c r="E2" s="32"/>
      <c r="F2" s="33">
        <f t="shared" ref="F2:F13" si="0">$P$1-E2</f>
        <v>200000</v>
      </c>
      <c r="G2" s="31"/>
      <c r="H2" s="31"/>
      <c r="I2" s="53">
        <v>38300191</v>
      </c>
      <c r="J2" s="53" t="s">
        <v>12</v>
      </c>
      <c r="K2" s="53">
        <v>36901024</v>
      </c>
      <c r="L2" s="53" t="s">
        <v>13</v>
      </c>
      <c r="M2" s="62">
        <v>4502015914</v>
      </c>
      <c r="N2" s="63">
        <v>660</v>
      </c>
      <c r="O2" s="65">
        <f t="shared" ref="O2:O27" si="1">D2-N2</f>
        <v>0</v>
      </c>
      <c r="R2" s="22"/>
      <c r="S2" s="22"/>
      <c r="T2" s="22"/>
    </row>
    <row r="3" spans="1:20" s="54" customFormat="1" ht="28.5" hidden="1" x14ac:dyDescent="0.2">
      <c r="A3" s="61">
        <v>5.04</v>
      </c>
      <c r="B3" s="62" t="s">
        <v>90</v>
      </c>
      <c r="C3" s="62" t="s">
        <v>91</v>
      </c>
      <c r="D3" s="63">
        <v>1000000</v>
      </c>
      <c r="E3" s="63"/>
      <c r="F3" s="64">
        <f t="shared" si="0"/>
        <v>200000</v>
      </c>
      <c r="G3" s="62" t="s">
        <v>95</v>
      </c>
      <c r="H3" s="62"/>
      <c r="I3" s="50">
        <v>38300191</v>
      </c>
      <c r="J3" s="50" t="s">
        <v>12</v>
      </c>
      <c r="K3" s="50">
        <v>3690112</v>
      </c>
      <c r="L3" s="50" t="s">
        <v>23</v>
      </c>
      <c r="M3" s="62">
        <v>4501692444</v>
      </c>
      <c r="N3" s="63">
        <v>1000000</v>
      </c>
      <c r="O3" s="65">
        <f t="shared" si="1"/>
        <v>0</v>
      </c>
      <c r="R3" s="22"/>
      <c r="S3" s="22"/>
      <c r="T3" s="22"/>
    </row>
    <row r="4" spans="1:20" s="54" customFormat="1" x14ac:dyDescent="0.2">
      <c r="A4" s="61">
        <v>8.0399999999999991</v>
      </c>
      <c r="B4" s="62" t="s">
        <v>96</v>
      </c>
      <c r="C4" s="62" t="s">
        <v>97</v>
      </c>
      <c r="D4" s="63">
        <v>5850</v>
      </c>
      <c r="E4" s="32"/>
      <c r="F4" s="33">
        <f t="shared" si="0"/>
        <v>200000</v>
      </c>
      <c r="G4" s="31"/>
      <c r="H4" s="31"/>
      <c r="I4" s="53">
        <v>38300191</v>
      </c>
      <c r="J4" s="53" t="s">
        <v>12</v>
      </c>
      <c r="K4" s="53">
        <v>36901024</v>
      </c>
      <c r="L4" s="53" t="s">
        <v>13</v>
      </c>
      <c r="M4" s="62">
        <v>4502018426</v>
      </c>
      <c r="N4" s="63">
        <v>5850</v>
      </c>
      <c r="O4" s="65">
        <f t="shared" si="1"/>
        <v>0</v>
      </c>
      <c r="R4" s="22"/>
      <c r="S4" s="22"/>
      <c r="T4" s="22"/>
    </row>
    <row r="5" spans="1:20" s="54" customFormat="1" hidden="1" x14ac:dyDescent="0.2">
      <c r="A5" s="61">
        <v>8.0399999999999991</v>
      </c>
      <c r="B5" s="62" t="s">
        <v>98</v>
      </c>
      <c r="C5" s="62" t="s">
        <v>99</v>
      </c>
      <c r="D5" s="63">
        <f>10000*1.17</f>
        <v>11700</v>
      </c>
      <c r="E5" s="63"/>
      <c r="F5" s="64">
        <f t="shared" si="0"/>
        <v>200000</v>
      </c>
      <c r="G5" s="62"/>
      <c r="H5" s="62"/>
      <c r="I5" s="50">
        <v>38300191</v>
      </c>
      <c r="J5" s="50" t="s">
        <v>12</v>
      </c>
      <c r="K5" s="50">
        <v>3690112</v>
      </c>
      <c r="L5" s="50" t="s">
        <v>23</v>
      </c>
      <c r="M5" s="62">
        <v>4502019189</v>
      </c>
      <c r="N5" s="63">
        <v>11700</v>
      </c>
      <c r="O5" s="65">
        <f t="shared" si="1"/>
        <v>0</v>
      </c>
      <c r="R5" s="22"/>
      <c r="S5" s="22"/>
      <c r="T5" s="22"/>
    </row>
    <row r="6" spans="1:20" s="54" customFormat="1" hidden="1" x14ac:dyDescent="0.2">
      <c r="A6" s="61">
        <v>8.0399999999999991</v>
      </c>
      <c r="B6" s="62" t="s">
        <v>100</v>
      </c>
      <c r="C6" s="62" t="s">
        <v>101</v>
      </c>
      <c r="D6" s="63">
        <f>(30*165)*1.17</f>
        <v>5791.5</v>
      </c>
      <c r="E6" s="63"/>
      <c r="F6" s="64">
        <f t="shared" si="0"/>
        <v>200000</v>
      </c>
      <c r="G6" s="62"/>
      <c r="H6" s="62"/>
      <c r="I6" s="50">
        <v>38300191</v>
      </c>
      <c r="J6" s="50" t="s">
        <v>12</v>
      </c>
      <c r="K6" s="50">
        <v>36901022</v>
      </c>
      <c r="L6" s="50" t="s">
        <v>16</v>
      </c>
      <c r="M6" s="62">
        <v>4502019207</v>
      </c>
      <c r="N6" s="63">
        <v>6142.5</v>
      </c>
      <c r="O6" s="65">
        <f t="shared" si="1"/>
        <v>-351</v>
      </c>
      <c r="R6" s="22"/>
      <c r="S6" s="22"/>
      <c r="T6" s="22"/>
    </row>
    <row r="7" spans="1:20" s="54" customFormat="1" x14ac:dyDescent="0.2">
      <c r="A7" s="61">
        <v>12.04</v>
      </c>
      <c r="B7" s="62" t="s">
        <v>102</v>
      </c>
      <c r="C7" s="62" t="s">
        <v>103</v>
      </c>
      <c r="D7" s="63">
        <v>5000</v>
      </c>
      <c r="E7" s="32"/>
      <c r="F7" s="33">
        <f t="shared" si="0"/>
        <v>200000</v>
      </c>
      <c r="G7" s="31"/>
      <c r="H7" s="31"/>
      <c r="I7" s="53">
        <v>38300191</v>
      </c>
      <c r="J7" s="53" t="s">
        <v>12</v>
      </c>
      <c r="K7" s="53">
        <v>36901024</v>
      </c>
      <c r="L7" s="53" t="s">
        <v>13</v>
      </c>
      <c r="M7" s="62">
        <v>4502020238</v>
      </c>
      <c r="N7" s="63">
        <v>5000</v>
      </c>
      <c r="O7" s="65">
        <f t="shared" si="1"/>
        <v>0</v>
      </c>
      <c r="R7" s="22"/>
      <c r="S7" s="22"/>
      <c r="T7" s="22"/>
    </row>
    <row r="8" spans="1:20" s="54" customFormat="1" x14ac:dyDescent="0.2">
      <c r="A8" s="61">
        <v>12.04</v>
      </c>
      <c r="B8" s="62" t="s">
        <v>92</v>
      </c>
      <c r="C8" s="62" t="s">
        <v>103</v>
      </c>
      <c r="D8" s="63">
        <v>5000</v>
      </c>
      <c r="E8" s="32"/>
      <c r="F8" s="33">
        <f t="shared" si="0"/>
        <v>200000</v>
      </c>
      <c r="G8" s="31"/>
      <c r="H8" s="31"/>
      <c r="I8" s="53">
        <v>38300191</v>
      </c>
      <c r="J8" s="53" t="s">
        <v>12</v>
      </c>
      <c r="K8" s="53">
        <v>36901024</v>
      </c>
      <c r="L8" s="53" t="s">
        <v>13</v>
      </c>
      <c r="M8" s="62">
        <v>4502020034</v>
      </c>
      <c r="N8" s="63">
        <v>5000</v>
      </c>
      <c r="O8" s="65">
        <f t="shared" si="1"/>
        <v>0</v>
      </c>
      <c r="R8" s="22"/>
      <c r="S8" s="22"/>
      <c r="T8" s="22"/>
    </row>
    <row r="9" spans="1:20" s="54" customFormat="1" x14ac:dyDescent="0.2">
      <c r="A9" s="61">
        <v>12.04</v>
      </c>
      <c r="B9" s="62" t="s">
        <v>104</v>
      </c>
      <c r="C9" s="62" t="s">
        <v>105</v>
      </c>
      <c r="D9" s="63">
        <f>6000*1.17</f>
        <v>7020</v>
      </c>
      <c r="E9" s="32"/>
      <c r="F9" s="33">
        <f t="shared" si="0"/>
        <v>200000</v>
      </c>
      <c r="G9" s="31"/>
      <c r="H9" s="31"/>
      <c r="I9" s="53">
        <v>38300191</v>
      </c>
      <c r="J9" s="53" t="s">
        <v>12</v>
      </c>
      <c r="K9" s="53">
        <v>36901024</v>
      </c>
      <c r="L9" s="53" t="s">
        <v>13</v>
      </c>
      <c r="M9" s="62">
        <v>4502020067</v>
      </c>
      <c r="N9" s="63">
        <v>7020</v>
      </c>
      <c r="O9" s="65">
        <f t="shared" si="1"/>
        <v>0</v>
      </c>
      <c r="R9" s="22"/>
      <c r="S9" s="22"/>
      <c r="T9" s="22"/>
    </row>
    <row r="10" spans="1:20" s="54" customFormat="1" ht="28.5" x14ac:dyDescent="0.2">
      <c r="A10" s="61">
        <v>13.04</v>
      </c>
      <c r="B10" s="62" t="s">
        <v>106</v>
      </c>
      <c r="C10" s="62" t="s">
        <v>107</v>
      </c>
      <c r="D10" s="63">
        <f>200000*1.17</f>
        <v>234000</v>
      </c>
      <c r="E10" s="32"/>
      <c r="F10" s="33">
        <f t="shared" si="0"/>
        <v>200000</v>
      </c>
      <c r="G10" s="31"/>
      <c r="H10" s="31" t="s">
        <v>60</v>
      </c>
      <c r="I10" s="53">
        <v>38300191</v>
      </c>
      <c r="J10" s="53" t="s">
        <v>12</v>
      </c>
      <c r="K10" s="53">
        <v>36901024</v>
      </c>
      <c r="L10" s="53" t="s">
        <v>13</v>
      </c>
      <c r="M10" s="62">
        <v>4502020524</v>
      </c>
      <c r="N10" s="63">
        <v>113600</v>
      </c>
      <c r="O10" s="65">
        <f t="shared" si="1"/>
        <v>120400</v>
      </c>
      <c r="R10" s="22"/>
      <c r="S10" s="22"/>
      <c r="T10" s="22"/>
    </row>
    <row r="11" spans="1:20" s="54" customFormat="1" hidden="1" x14ac:dyDescent="0.2">
      <c r="A11" s="61">
        <v>18.04</v>
      </c>
      <c r="B11" s="62" t="s">
        <v>108</v>
      </c>
      <c r="C11" s="62" t="s">
        <v>109</v>
      </c>
      <c r="D11" s="63">
        <f>13612*1.17</f>
        <v>15926.039999999999</v>
      </c>
      <c r="E11" s="63"/>
      <c r="F11" s="64">
        <f t="shared" si="0"/>
        <v>200000</v>
      </c>
      <c r="G11" s="62"/>
      <c r="H11" s="62" t="s">
        <v>42</v>
      </c>
      <c r="I11" s="53">
        <v>38300121</v>
      </c>
      <c r="J11" s="53" t="s">
        <v>24</v>
      </c>
      <c r="K11" s="53">
        <v>3690103</v>
      </c>
      <c r="L11" s="53" t="s">
        <v>25</v>
      </c>
      <c r="M11" s="62">
        <v>4502021194</v>
      </c>
      <c r="N11" s="63">
        <v>16040.7</v>
      </c>
      <c r="O11" s="65">
        <f t="shared" si="1"/>
        <v>-114.66000000000167</v>
      </c>
      <c r="R11" s="22"/>
      <c r="S11" s="22"/>
      <c r="T11" s="22"/>
    </row>
    <row r="12" spans="1:20" s="54" customFormat="1" hidden="1" x14ac:dyDescent="0.2">
      <c r="A12" s="61" t="s">
        <v>110</v>
      </c>
      <c r="B12" s="62" t="s">
        <v>108</v>
      </c>
      <c r="C12" s="62" t="s">
        <v>111</v>
      </c>
      <c r="D12" s="64">
        <f>28710*1.17</f>
        <v>33590.699999999997</v>
      </c>
      <c r="E12" s="51"/>
      <c r="F12" s="52">
        <f t="shared" si="0"/>
        <v>200000</v>
      </c>
      <c r="G12" s="50"/>
      <c r="H12" s="50" t="s">
        <v>42</v>
      </c>
      <c r="I12" s="50">
        <v>38300191</v>
      </c>
      <c r="J12" s="50" t="s">
        <v>12</v>
      </c>
      <c r="K12" s="50">
        <v>36901022</v>
      </c>
      <c r="L12" s="50" t="s">
        <v>16</v>
      </c>
      <c r="M12" s="50">
        <v>4502021200</v>
      </c>
      <c r="N12" s="51">
        <v>33590.699999999997</v>
      </c>
      <c r="O12" s="65">
        <f t="shared" si="1"/>
        <v>0</v>
      </c>
      <c r="R12" s="55"/>
      <c r="S12" s="55"/>
      <c r="T12" s="55"/>
    </row>
    <row r="13" spans="1:20" s="54" customFormat="1" ht="28.5" hidden="1" x14ac:dyDescent="0.2">
      <c r="A13" s="61">
        <v>19.04</v>
      </c>
      <c r="B13" s="62" t="s">
        <v>59</v>
      </c>
      <c r="C13" s="50" t="s">
        <v>112</v>
      </c>
      <c r="D13" s="51">
        <f>1837*1.17</f>
        <v>2149.29</v>
      </c>
      <c r="E13" s="51"/>
      <c r="F13" s="52">
        <f t="shared" si="0"/>
        <v>200000</v>
      </c>
      <c r="G13" s="50"/>
      <c r="H13" s="50"/>
      <c r="I13" s="50">
        <v>38300191</v>
      </c>
      <c r="J13" s="50" t="s">
        <v>12</v>
      </c>
      <c r="K13" s="50">
        <v>36901021</v>
      </c>
      <c r="L13" s="50" t="s">
        <v>15</v>
      </c>
      <c r="M13" s="50">
        <v>4502022771</v>
      </c>
      <c r="N13" s="51">
        <v>2149.29</v>
      </c>
      <c r="O13" s="65">
        <f t="shared" si="1"/>
        <v>0</v>
      </c>
      <c r="R13" s="22"/>
      <c r="S13" s="22"/>
      <c r="T13" s="22"/>
    </row>
    <row r="14" spans="1:20" s="54" customFormat="1" x14ac:dyDescent="0.2">
      <c r="A14" s="61">
        <v>19.04</v>
      </c>
      <c r="B14" s="62" t="s">
        <v>113</v>
      </c>
      <c r="C14" s="50" t="s">
        <v>114</v>
      </c>
      <c r="D14" s="52" t="s">
        <v>115</v>
      </c>
      <c r="E14" s="45"/>
      <c r="F14" s="45"/>
      <c r="G14" s="24"/>
      <c r="H14" s="24"/>
      <c r="I14" s="53">
        <v>38300191</v>
      </c>
      <c r="J14" s="53" t="s">
        <v>12</v>
      </c>
      <c r="K14" s="53">
        <v>36901024</v>
      </c>
      <c r="L14" s="53" t="s">
        <v>13</v>
      </c>
      <c r="M14" s="50">
        <v>4502017643</v>
      </c>
      <c r="N14" s="51">
        <v>232.83</v>
      </c>
      <c r="O14" s="65">
        <f t="shared" si="1"/>
        <v>0</v>
      </c>
      <c r="R14" s="22"/>
      <c r="S14" s="22"/>
      <c r="T14" s="22"/>
    </row>
    <row r="15" spans="1:20" s="54" customFormat="1" x14ac:dyDescent="0.2">
      <c r="A15" s="61">
        <v>19.04</v>
      </c>
      <c r="B15" s="62" t="s">
        <v>116</v>
      </c>
      <c r="C15" s="50" t="s">
        <v>117</v>
      </c>
      <c r="D15" s="51">
        <v>6768.5</v>
      </c>
      <c r="E15" s="44"/>
      <c r="F15" s="45">
        <f t="shared" ref="F15:F19" si="2">$P$1-E15</f>
        <v>200000</v>
      </c>
      <c r="G15" s="24"/>
      <c r="H15" s="24"/>
      <c r="I15" s="53">
        <v>38300191</v>
      </c>
      <c r="J15" s="53" t="s">
        <v>12</v>
      </c>
      <c r="K15" s="53">
        <v>36901024</v>
      </c>
      <c r="L15" s="53" t="s">
        <v>13</v>
      </c>
      <c r="M15" s="50">
        <v>4502022742</v>
      </c>
      <c r="N15" s="51">
        <v>6768.5</v>
      </c>
      <c r="O15" s="65">
        <f t="shared" si="1"/>
        <v>0</v>
      </c>
      <c r="R15" s="22"/>
      <c r="S15" s="22"/>
      <c r="T15" s="22"/>
    </row>
    <row r="16" spans="1:20" s="54" customFormat="1" hidden="1" x14ac:dyDescent="0.2">
      <c r="A16" s="61">
        <v>19.04</v>
      </c>
      <c r="B16" s="62" t="s">
        <v>118</v>
      </c>
      <c r="C16" s="62" t="s">
        <v>119</v>
      </c>
      <c r="D16" s="63">
        <f>(487.15*3.4)*1.17</f>
        <v>1937.8826999999999</v>
      </c>
      <c r="E16" s="51"/>
      <c r="F16" s="52">
        <f t="shared" si="2"/>
        <v>200000</v>
      </c>
      <c r="G16" s="50"/>
      <c r="H16" s="50"/>
      <c r="I16" s="50">
        <v>38300191</v>
      </c>
      <c r="J16" s="50" t="s">
        <v>12</v>
      </c>
      <c r="K16" s="50">
        <v>36901021</v>
      </c>
      <c r="L16" s="50" t="s">
        <v>15</v>
      </c>
      <c r="M16" s="50">
        <v>4502022716</v>
      </c>
      <c r="N16" s="51">
        <v>1994.85</v>
      </c>
      <c r="O16" s="65">
        <f t="shared" si="1"/>
        <v>-56.967300000000023</v>
      </c>
      <c r="R16" s="22"/>
      <c r="S16" s="22"/>
      <c r="T16" s="22"/>
    </row>
    <row r="17" spans="1:20" s="54" customFormat="1" hidden="1" x14ac:dyDescent="0.2">
      <c r="A17" s="61">
        <v>19.04</v>
      </c>
      <c r="B17" s="62" t="s">
        <v>120</v>
      </c>
      <c r="C17" s="62" t="s">
        <v>121</v>
      </c>
      <c r="D17" s="63">
        <f>20000*1.17</f>
        <v>23400</v>
      </c>
      <c r="E17" s="51"/>
      <c r="F17" s="52">
        <f t="shared" si="2"/>
        <v>200000</v>
      </c>
      <c r="G17" s="50"/>
      <c r="H17" s="50"/>
      <c r="I17" s="50">
        <v>38300191</v>
      </c>
      <c r="J17" s="50" t="s">
        <v>12</v>
      </c>
      <c r="K17" s="50">
        <v>3690112</v>
      </c>
      <c r="L17" s="50" t="s">
        <v>23</v>
      </c>
      <c r="M17" s="50">
        <v>4502023598</v>
      </c>
      <c r="N17" s="51">
        <v>23400</v>
      </c>
      <c r="O17" s="65">
        <f t="shared" si="1"/>
        <v>0</v>
      </c>
      <c r="R17" s="22"/>
      <c r="S17" s="22"/>
      <c r="T17" s="22"/>
    </row>
    <row r="18" spans="1:20" s="54" customFormat="1" ht="28.5" hidden="1" x14ac:dyDescent="0.2">
      <c r="A18" s="61">
        <v>19.04</v>
      </c>
      <c r="B18" s="67" t="s">
        <v>93</v>
      </c>
      <c r="C18" s="67" t="s">
        <v>122</v>
      </c>
      <c r="D18" s="68">
        <v>40476.370000000003</v>
      </c>
      <c r="E18" s="51"/>
      <c r="F18" s="52">
        <f t="shared" si="2"/>
        <v>200000</v>
      </c>
      <c r="G18" s="50"/>
      <c r="H18" s="50"/>
      <c r="I18" s="50">
        <v>38300191</v>
      </c>
      <c r="J18" s="50" t="s">
        <v>12</v>
      </c>
      <c r="K18" s="50">
        <v>36901021</v>
      </c>
      <c r="L18" s="50" t="s">
        <v>15</v>
      </c>
      <c r="M18" s="50">
        <v>4502022706</v>
      </c>
      <c r="N18" s="51">
        <f>Table1[[#This Row],[סכום מבוקש בש"ח כולל מעמ!!]]</f>
        <v>40476.370000000003</v>
      </c>
      <c r="O18" s="65">
        <f t="shared" si="1"/>
        <v>0</v>
      </c>
      <c r="R18" s="22"/>
      <c r="S18" s="22"/>
      <c r="T18" s="22"/>
    </row>
    <row r="19" spans="1:20" s="54" customFormat="1" ht="28.5" x14ac:dyDescent="0.2">
      <c r="A19" s="61">
        <v>19.04</v>
      </c>
      <c r="B19" s="67" t="s">
        <v>56</v>
      </c>
      <c r="C19" s="67" t="s">
        <v>123</v>
      </c>
      <c r="D19" s="68">
        <f>(7512.84+28296)*1.17</f>
        <v>41896.342799999991</v>
      </c>
      <c r="E19" s="32"/>
      <c r="F19" s="33">
        <f t="shared" si="2"/>
        <v>200000</v>
      </c>
      <c r="G19" s="31"/>
      <c r="H19" s="31"/>
      <c r="I19" s="53">
        <v>38300191</v>
      </c>
      <c r="J19" s="53" t="s">
        <v>12</v>
      </c>
      <c r="K19" s="53">
        <v>36901024</v>
      </c>
      <c r="L19" s="53" t="s">
        <v>13</v>
      </c>
      <c r="M19" s="62">
        <v>4501810476</v>
      </c>
      <c r="N19" s="63">
        <f>Table1[[#This Row],[סכום מבוקש בש"ח כולל מעמ!!]]</f>
        <v>41896.342799999991</v>
      </c>
      <c r="O19" s="65">
        <f t="shared" si="1"/>
        <v>0</v>
      </c>
      <c r="R19" s="22"/>
      <c r="S19" s="22"/>
      <c r="T19" s="22"/>
    </row>
    <row r="20" spans="1:20" s="54" customFormat="1" hidden="1" x14ac:dyDescent="0.2">
      <c r="A20" s="61">
        <v>21.04</v>
      </c>
      <c r="B20" s="62" t="s">
        <v>124</v>
      </c>
      <c r="C20" s="62" t="s">
        <v>125</v>
      </c>
      <c r="D20" s="63">
        <f>4740*1.17</f>
        <v>5545.7999999999993</v>
      </c>
      <c r="E20" s="51"/>
      <c r="F20" s="52">
        <f>$P$1-E20</f>
        <v>200000</v>
      </c>
      <c r="G20" s="50"/>
      <c r="H20" s="50"/>
      <c r="I20" s="50">
        <v>38300191</v>
      </c>
      <c r="J20" s="50" t="s">
        <v>12</v>
      </c>
      <c r="K20" s="50">
        <v>36901022</v>
      </c>
      <c r="L20" s="50" t="s">
        <v>16</v>
      </c>
      <c r="M20" s="50">
        <v>4502023607</v>
      </c>
      <c r="N20" s="51">
        <v>5545.8</v>
      </c>
      <c r="O20" s="65">
        <f t="shared" si="1"/>
        <v>0</v>
      </c>
      <c r="R20" s="22"/>
      <c r="S20" s="22"/>
      <c r="T20" s="22"/>
    </row>
    <row r="21" spans="1:20" s="49" customFormat="1" hidden="1" x14ac:dyDescent="0.2">
      <c r="A21" s="56">
        <v>21.04</v>
      </c>
      <c r="B21" s="57" t="s">
        <v>126</v>
      </c>
      <c r="C21" s="57" t="s">
        <v>127</v>
      </c>
      <c r="D21" s="58">
        <v>3500000</v>
      </c>
      <c r="E21" s="58"/>
      <c r="F21" s="59">
        <f>$P$1-E21</f>
        <v>200000</v>
      </c>
      <c r="G21" s="57"/>
      <c r="H21" s="57"/>
      <c r="I21" s="47">
        <v>38300196</v>
      </c>
      <c r="J21" s="47" t="s">
        <v>128</v>
      </c>
      <c r="K21" s="47">
        <v>36901023</v>
      </c>
      <c r="L21" s="47" t="s">
        <v>41</v>
      </c>
      <c r="M21" s="47">
        <v>4502022997</v>
      </c>
      <c r="N21" s="48">
        <v>2009299.5</v>
      </c>
      <c r="O21" s="46">
        <f t="shared" si="1"/>
        <v>1490700.5</v>
      </c>
      <c r="R21" s="22"/>
      <c r="S21" s="22"/>
      <c r="T21" s="22"/>
    </row>
    <row r="22" spans="1:20" s="54" customFormat="1" hidden="1" x14ac:dyDescent="0.2">
      <c r="A22" s="61">
        <v>28.04</v>
      </c>
      <c r="B22" s="62" t="s">
        <v>129</v>
      </c>
      <c r="C22" s="62" t="s">
        <v>130</v>
      </c>
      <c r="D22" s="63">
        <v>190944</v>
      </c>
      <c r="E22" s="51"/>
      <c r="F22" s="52">
        <f>$P$1-E22</f>
        <v>200000</v>
      </c>
      <c r="G22" s="50"/>
      <c r="H22" s="50" t="s">
        <v>131</v>
      </c>
      <c r="I22" s="50">
        <v>38300191</v>
      </c>
      <c r="J22" s="50" t="s">
        <v>12</v>
      </c>
      <c r="K22" s="50">
        <v>3690112</v>
      </c>
      <c r="L22" s="50" t="s">
        <v>23</v>
      </c>
      <c r="M22" s="66">
        <v>4501607582</v>
      </c>
      <c r="N22" s="51">
        <v>190944</v>
      </c>
      <c r="O22" s="65">
        <f t="shared" si="1"/>
        <v>0</v>
      </c>
      <c r="R22" s="22"/>
      <c r="S22" s="22"/>
      <c r="T22" s="22"/>
    </row>
    <row r="23" spans="1:20" s="54" customFormat="1" hidden="1" x14ac:dyDescent="0.2">
      <c r="A23" s="61">
        <v>28.04</v>
      </c>
      <c r="B23" s="62" t="s">
        <v>132</v>
      </c>
      <c r="C23" s="62" t="s">
        <v>133</v>
      </c>
      <c r="D23" s="63">
        <v>30513.599999999999</v>
      </c>
      <c r="E23" s="51"/>
      <c r="F23" s="52">
        <f t="shared" ref="F23:F27" si="3">$P$1-E23</f>
        <v>200000</v>
      </c>
      <c r="G23" s="50"/>
      <c r="H23" s="50" t="s">
        <v>131</v>
      </c>
      <c r="I23" s="50">
        <v>38300191</v>
      </c>
      <c r="J23" s="50" t="s">
        <v>12</v>
      </c>
      <c r="K23" s="50">
        <v>3690112</v>
      </c>
      <c r="L23" s="50" t="s">
        <v>23</v>
      </c>
      <c r="M23" s="50">
        <v>4501592542</v>
      </c>
      <c r="N23" s="51">
        <f>Table1[[#This Row],[סכום מבוקש בש"ח כולל מעמ!!]]</f>
        <v>30513.599999999999</v>
      </c>
      <c r="O23" s="65">
        <f t="shared" si="1"/>
        <v>0</v>
      </c>
      <c r="R23" s="22"/>
      <c r="S23" s="22"/>
      <c r="T23" s="22"/>
    </row>
    <row r="24" spans="1:20" s="54" customFormat="1" hidden="1" x14ac:dyDescent="0.2">
      <c r="A24" s="61">
        <v>28.04</v>
      </c>
      <c r="B24" s="67" t="s">
        <v>134</v>
      </c>
      <c r="C24" s="62" t="s">
        <v>130</v>
      </c>
      <c r="D24" s="68">
        <v>117000</v>
      </c>
      <c r="E24" s="63"/>
      <c r="F24" s="64">
        <f t="shared" si="3"/>
        <v>200000</v>
      </c>
      <c r="G24" s="62"/>
      <c r="H24" s="62"/>
      <c r="I24" s="53">
        <v>38300191</v>
      </c>
      <c r="J24" s="53" t="s">
        <v>12</v>
      </c>
      <c r="K24" s="50">
        <v>36901023</v>
      </c>
      <c r="L24" s="50" t="s">
        <v>41</v>
      </c>
      <c r="M24" s="62">
        <v>4501592542</v>
      </c>
      <c r="N24" s="63">
        <v>117000</v>
      </c>
      <c r="O24" s="65">
        <f t="shared" si="1"/>
        <v>0</v>
      </c>
      <c r="R24" s="22"/>
      <c r="S24" s="22"/>
      <c r="T24" s="22"/>
    </row>
    <row r="25" spans="1:20" s="49" customFormat="1" hidden="1" x14ac:dyDescent="0.2">
      <c r="A25" s="56">
        <v>29.04</v>
      </c>
      <c r="B25" s="57" t="s">
        <v>135</v>
      </c>
      <c r="C25" s="57" t="s">
        <v>136</v>
      </c>
      <c r="D25" s="58">
        <v>1287000</v>
      </c>
      <c r="E25" s="58"/>
      <c r="F25" s="59">
        <f t="shared" si="3"/>
        <v>200000</v>
      </c>
      <c r="G25" s="57"/>
      <c r="H25" s="47" t="s">
        <v>131</v>
      </c>
      <c r="I25" s="60">
        <v>38300105</v>
      </c>
      <c r="J25" s="60" t="s">
        <v>137</v>
      </c>
      <c r="K25" s="60">
        <v>3690102</v>
      </c>
      <c r="L25" s="60" t="s">
        <v>138</v>
      </c>
      <c r="M25" s="57">
        <v>4502023101</v>
      </c>
      <c r="N25" s="58">
        <f>Table1[[#This Row],[סכום מבוקש בש"ח כולל מעמ!!]]</f>
        <v>1287000</v>
      </c>
      <c r="O25" s="46">
        <f t="shared" si="1"/>
        <v>0</v>
      </c>
      <c r="R25" s="22"/>
      <c r="S25" s="22"/>
      <c r="T25" s="22"/>
    </row>
    <row r="26" spans="1:20" s="54" customFormat="1" hidden="1" x14ac:dyDescent="0.2">
      <c r="A26" s="61">
        <v>29.04</v>
      </c>
      <c r="B26" s="62" t="s">
        <v>59</v>
      </c>
      <c r="C26" s="62" t="s">
        <v>57</v>
      </c>
      <c r="D26" s="63">
        <v>641148.25</v>
      </c>
      <c r="E26" s="63"/>
      <c r="F26" s="64">
        <f t="shared" si="3"/>
        <v>200000</v>
      </c>
      <c r="G26" s="62"/>
      <c r="H26" s="62" t="s">
        <v>55</v>
      </c>
      <c r="I26" s="50">
        <v>38300191</v>
      </c>
      <c r="J26" s="50" t="s">
        <v>12</v>
      </c>
      <c r="K26" s="50">
        <v>36901021</v>
      </c>
      <c r="L26" s="50" t="s">
        <v>15</v>
      </c>
      <c r="M26" s="62">
        <v>4501844693</v>
      </c>
      <c r="N26" s="63">
        <v>641148.25</v>
      </c>
      <c r="O26" s="65">
        <f t="shared" si="1"/>
        <v>0</v>
      </c>
      <c r="R26" s="22"/>
      <c r="S26" s="22"/>
      <c r="T26" s="22"/>
    </row>
    <row r="27" spans="1:20" s="54" customFormat="1" ht="28.5" x14ac:dyDescent="0.2">
      <c r="A27" s="61">
        <v>29.04</v>
      </c>
      <c r="B27" s="62" t="s">
        <v>139</v>
      </c>
      <c r="C27" s="62" t="s">
        <v>140</v>
      </c>
      <c r="D27" s="63">
        <v>761</v>
      </c>
      <c r="E27" s="32"/>
      <c r="F27" s="33">
        <f t="shared" si="3"/>
        <v>200000</v>
      </c>
      <c r="G27" s="31"/>
      <c r="H27" s="31"/>
      <c r="I27" s="53">
        <v>38300191</v>
      </c>
      <c r="J27" s="53" t="s">
        <v>12</v>
      </c>
      <c r="K27" s="53">
        <v>36901024</v>
      </c>
      <c r="L27" s="53" t="s">
        <v>13</v>
      </c>
      <c r="M27" s="62">
        <v>4502026456</v>
      </c>
      <c r="N27" s="63">
        <v>761</v>
      </c>
      <c r="O27" s="65">
        <f t="shared" si="1"/>
        <v>0</v>
      </c>
      <c r="R27" s="22"/>
      <c r="S27" s="22"/>
      <c r="T27" s="22"/>
    </row>
    <row r="28" spans="1:20" s="54" customFormat="1" x14ac:dyDescent="0.2">
      <c r="A28" s="61"/>
      <c r="B28" s="62"/>
      <c r="C28" s="62"/>
      <c r="D28" s="63"/>
      <c r="E28" s="63"/>
      <c r="F28" s="62"/>
      <c r="G28" s="62"/>
      <c r="H28" s="62"/>
      <c r="I28" s="69"/>
      <c r="J28" s="69"/>
      <c r="K28" s="69"/>
      <c r="L28" s="69"/>
      <c r="M28" s="62"/>
      <c r="N28" s="63">
        <f>SUBTOTAL(109,Table1[שווי שורה/ הגדלה ])</f>
        <v>186788.67279999997</v>
      </c>
      <c r="O28" s="70"/>
      <c r="R28" s="22"/>
      <c r="S28" s="22"/>
      <c r="T28" s="2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8"/>
  <sheetViews>
    <sheetView rightToLeft="1" zoomScale="90" zoomScaleNormal="90" workbookViewId="0">
      <pane ySplit="1" topLeftCell="A2" activePane="bottomLeft" state="frozen"/>
      <selection pane="bottomLeft" activeCell="G24" sqref="G24"/>
    </sheetView>
  </sheetViews>
  <sheetFormatPr defaultRowHeight="14.25" x14ac:dyDescent="0.2"/>
  <cols>
    <col min="2" max="2" width="12.125" customWidth="1"/>
    <col min="3" max="3" width="47.75" customWidth="1"/>
    <col min="4" max="4" width="14.875" style="23" customWidth="1"/>
    <col min="5" max="5" width="14.125" customWidth="1"/>
    <col min="6" max="6" width="14.75" style="23" bestFit="1" customWidth="1"/>
    <col min="7" max="7" width="15.875" style="23" customWidth="1"/>
    <col min="8" max="8" width="15.875" customWidth="1"/>
    <col min="9" max="9" width="12.375" bestFit="1" customWidth="1"/>
    <col min="10" max="10" width="14.125" bestFit="1" customWidth="1"/>
  </cols>
  <sheetData>
    <row r="1" spans="1:10" s="13" customFormat="1" ht="28.5" x14ac:dyDescent="0.2">
      <c r="A1" s="13" t="s">
        <v>17</v>
      </c>
      <c r="B1" s="13" t="s">
        <v>18</v>
      </c>
      <c r="C1" s="13" t="s">
        <v>19</v>
      </c>
      <c r="D1" s="25" t="s">
        <v>20</v>
      </c>
      <c r="E1" s="13" t="s">
        <v>21</v>
      </c>
      <c r="F1" s="25" t="s">
        <v>22</v>
      </c>
      <c r="G1" s="25" t="s">
        <v>26</v>
      </c>
      <c r="H1" s="13" t="s">
        <v>30</v>
      </c>
      <c r="I1" s="13" t="s">
        <v>31</v>
      </c>
      <c r="J1" s="13" t="s">
        <v>32</v>
      </c>
    </row>
    <row r="2" spans="1:10" ht="57" x14ac:dyDescent="0.2">
      <c r="A2">
        <v>34637</v>
      </c>
      <c r="B2" t="s">
        <v>28</v>
      </c>
      <c r="C2" s="22" t="s">
        <v>33</v>
      </c>
      <c r="D2" s="23">
        <v>5800000</v>
      </c>
      <c r="E2" t="s">
        <v>14</v>
      </c>
      <c r="F2" s="23">
        <v>5800000</v>
      </c>
      <c r="G2" s="23">
        <f>טבלה3[[#This Row],[סכום מבוקש]]-טבלה3[[#This Row],[סכום מאושר]]</f>
        <v>0</v>
      </c>
      <c r="H2" s="23"/>
      <c r="I2" s="23"/>
      <c r="J2" s="23">
        <f>טבלה3[[#This Row],[סכום מאושר]]-טבלה3[[#This Row],[ניצול מתוך הפנייה ]]</f>
        <v>5800000</v>
      </c>
    </row>
    <row r="3" spans="1:10" ht="28.5" x14ac:dyDescent="0.2">
      <c r="A3">
        <v>34657</v>
      </c>
      <c r="B3" t="s">
        <v>29</v>
      </c>
      <c r="C3" s="22" t="s">
        <v>34</v>
      </c>
      <c r="D3" s="23">
        <v>7500000</v>
      </c>
      <c r="E3" t="s">
        <v>14</v>
      </c>
      <c r="F3" s="23">
        <v>7500000</v>
      </c>
      <c r="G3" s="23">
        <f>טבלה3[[#This Row],[סכום מבוקש]]-טבלה3[[#This Row],[סכום מאושר]]</f>
        <v>0</v>
      </c>
      <c r="H3" s="23"/>
      <c r="I3" s="23">
        <f>'[1]2021'!$N$45</f>
        <v>2949415.3800000004</v>
      </c>
      <c r="J3" s="23">
        <f>טבלה3[[#This Row],[סכום מאושר]]-טבלה3[[#This Row],[ניצול מתוך הפנייה ]]</f>
        <v>4550584.6199999992</v>
      </c>
    </row>
    <row r="4" spans="1:10" x14ac:dyDescent="0.2">
      <c r="A4">
        <v>34803</v>
      </c>
      <c r="B4" t="s">
        <v>35</v>
      </c>
      <c r="C4" t="s">
        <v>36</v>
      </c>
      <c r="D4" s="23">
        <v>27500000</v>
      </c>
      <c r="E4" t="s">
        <v>14</v>
      </c>
      <c r="F4" s="23">
        <v>27500000</v>
      </c>
      <c r="G4" s="23">
        <f>טבלה3[[#This Row],[סכום מבוקש]]-טבלה3[[#This Row],[סכום מאושר]]</f>
        <v>0</v>
      </c>
      <c r="H4" s="23"/>
      <c r="I4" s="23">
        <f>'[2]חישובי יתרה'!$D$21</f>
        <v>5630872.7412999999</v>
      </c>
      <c r="J4" s="23">
        <f>טבלה3[[#This Row],[סכום מאושר]]-טבלה3[[#This Row],[ניצול מתוך הפנייה ]]</f>
        <v>21869127.258699998</v>
      </c>
    </row>
    <row r="5" spans="1:10" ht="42.75" x14ac:dyDescent="0.2">
      <c r="A5">
        <v>34894</v>
      </c>
      <c r="B5" t="s">
        <v>37</v>
      </c>
      <c r="C5" s="22" t="s">
        <v>38</v>
      </c>
      <c r="D5" s="23">
        <v>175500</v>
      </c>
      <c r="E5" t="s">
        <v>39</v>
      </c>
      <c r="G5" s="23">
        <f>טבלה3[[#This Row],[סכום מבוקש]]-טבלה3[[#This Row],[סכום מאושר]]</f>
        <v>175500</v>
      </c>
      <c r="H5" s="26" t="s">
        <v>40</v>
      </c>
      <c r="I5" s="23"/>
      <c r="J5" s="23">
        <f>טבלה3[[#This Row],[סכום מאושר]]-טבלה3[[#This Row],[ניצול מתוך הפנייה ]]</f>
        <v>0</v>
      </c>
    </row>
    <row r="6" spans="1:10" ht="85.5" x14ac:dyDescent="0.2">
      <c r="A6">
        <v>35092</v>
      </c>
      <c r="B6" t="s">
        <v>43</v>
      </c>
      <c r="C6" s="22" t="s">
        <v>44</v>
      </c>
      <c r="D6" s="23">
        <v>527700000</v>
      </c>
      <c r="E6" t="s">
        <v>14</v>
      </c>
      <c r="F6" s="23">
        <f>טבלה3[[#This Row],[סכום מבוקש]]</f>
        <v>527700000</v>
      </c>
      <c r="G6" s="23">
        <f>טבלה3[[#This Row],[סכום מבוקש]]-טבלה3[[#This Row],[סכום מאושר]]</f>
        <v>0</v>
      </c>
      <c r="H6" s="22" t="s">
        <v>45</v>
      </c>
      <c r="I6" s="23"/>
      <c r="J6" s="23">
        <f>טבלה3[[#This Row],[סכום מאושר]]-טבלה3[[#This Row],[ניצול מתוך הפנייה ]]</f>
        <v>527700000</v>
      </c>
    </row>
    <row r="7" spans="1:10" ht="28.5" x14ac:dyDescent="0.2">
      <c r="A7">
        <v>35254</v>
      </c>
      <c r="B7" t="s">
        <v>46</v>
      </c>
      <c r="C7" s="29" t="s">
        <v>47</v>
      </c>
      <c r="D7" s="23">
        <v>415584</v>
      </c>
      <c r="E7" t="s">
        <v>14</v>
      </c>
      <c r="F7" s="23">
        <f>טבלה3[[#This Row],[סכום מבוקש]]</f>
        <v>415584</v>
      </c>
      <c r="G7" s="23">
        <f>טבלה3[[#This Row],[סכום מבוקש]]-טבלה3[[#This Row],[סכום מאושר]]</f>
        <v>0</v>
      </c>
      <c r="H7" s="30" t="s">
        <v>48</v>
      </c>
      <c r="I7" s="23"/>
      <c r="J7" s="23">
        <f>טבלה3[[#This Row],[סכום מאושר]]-טבלה3[[#This Row],[ניצול מתוך הפנייה ]]</f>
        <v>415584</v>
      </c>
    </row>
    <row r="8" spans="1:10" ht="85.5" x14ac:dyDescent="0.2">
      <c r="A8">
        <v>35320</v>
      </c>
      <c r="B8" t="s">
        <v>49</v>
      </c>
      <c r="C8" s="29" t="s">
        <v>50</v>
      </c>
      <c r="D8" s="23">
        <v>150000</v>
      </c>
      <c r="E8" t="s">
        <v>14</v>
      </c>
      <c r="F8" s="23">
        <f>טבלה3[[#This Row],[סכום מבוקש]]</f>
        <v>150000</v>
      </c>
      <c r="G8" s="23">
        <f>טבלה3[[#This Row],[סכום מבוקש]]-טבלה3[[#This Row],[סכום מאושר]]</f>
        <v>0</v>
      </c>
      <c r="H8" s="23"/>
      <c r="I8" s="23"/>
      <c r="J8" s="23">
        <f>טבלה3[[#This Row],[סכום מאושר]]-טבלה3[[#This Row],[ניצול מתוך הפנייה ]]</f>
        <v>150000</v>
      </c>
    </row>
    <row r="9" spans="1:10" ht="28.5" x14ac:dyDescent="0.2">
      <c r="A9">
        <v>35363</v>
      </c>
      <c r="B9" t="s">
        <v>51</v>
      </c>
      <c r="C9" s="22" t="s">
        <v>52</v>
      </c>
      <c r="D9" s="23">
        <v>234000</v>
      </c>
      <c r="E9" t="s">
        <v>14</v>
      </c>
      <c r="F9" s="23">
        <f>טבלה3[[#This Row],[סכום מבוקש]]</f>
        <v>234000</v>
      </c>
      <c r="G9" s="23">
        <f>טבלה3[[#This Row],[סכום מבוקש]]-טבלה3[[#This Row],[סכום מאושר]]</f>
        <v>0</v>
      </c>
      <c r="H9" s="23"/>
      <c r="I9" s="23"/>
      <c r="J9" s="23">
        <f>טבלה3[[#This Row],[סכום מאושר]]-טבלה3[[#This Row],[ניצול מתוך הפנייה ]]</f>
        <v>234000</v>
      </c>
    </row>
    <row r="10" spans="1:10" x14ac:dyDescent="0.2">
      <c r="G10" s="23">
        <f>טבלה3[[#This Row],[סכום מבוקש]]-טבלה3[[#This Row],[סכום מאושר]]</f>
        <v>0</v>
      </c>
      <c r="H10" s="23"/>
      <c r="I10" s="23"/>
      <c r="J10" s="23">
        <f>טבלה3[[#This Row],[סכום מאושר]]-טבלה3[[#This Row],[ניצול מתוך הפנייה ]]</f>
        <v>0</v>
      </c>
    </row>
    <row r="11" spans="1:10" x14ac:dyDescent="0.2">
      <c r="G11" s="23">
        <f>טבלה3[[#This Row],[סכום מבוקש]]-טבלה3[[#This Row],[סכום מאושר]]</f>
        <v>0</v>
      </c>
      <c r="H11" s="23"/>
      <c r="I11" s="23"/>
      <c r="J11" s="23">
        <f>טבלה3[[#This Row],[סכום מאושר]]-טבלה3[[#This Row],[ניצול מתוך הפנייה ]]</f>
        <v>0</v>
      </c>
    </row>
    <row r="12" spans="1:10" x14ac:dyDescent="0.2">
      <c r="H12" s="23"/>
      <c r="I12" s="23"/>
      <c r="J12" s="23"/>
    </row>
    <row r="13" spans="1:10" x14ac:dyDescent="0.2">
      <c r="H13" s="23"/>
      <c r="I13" s="23"/>
      <c r="J13" s="23"/>
    </row>
    <row r="14" spans="1:10" x14ac:dyDescent="0.2">
      <c r="H14" s="23"/>
      <c r="I14" s="23"/>
      <c r="J14" s="23"/>
    </row>
    <row r="15" spans="1:10" x14ac:dyDescent="0.2">
      <c r="H15" s="23"/>
      <c r="I15" s="23"/>
      <c r="J15" s="23"/>
    </row>
    <row r="16" spans="1:10" x14ac:dyDescent="0.2">
      <c r="H16" s="23"/>
      <c r="I16" s="23"/>
      <c r="J16" s="23"/>
    </row>
    <row r="17" spans="8:10" x14ac:dyDescent="0.2">
      <c r="H17" s="23"/>
      <c r="I17" s="23"/>
      <c r="J17" s="23"/>
    </row>
    <row r="18" spans="8:10" x14ac:dyDescent="0.2">
      <c r="H18" s="23"/>
      <c r="I18" s="23"/>
      <c r="J18" s="23"/>
    </row>
    <row r="19" spans="8:10" x14ac:dyDescent="0.2">
      <c r="H19" s="23"/>
      <c r="I19" s="23"/>
      <c r="J19" s="23"/>
    </row>
    <row r="20" spans="8:10" x14ac:dyDescent="0.2">
      <c r="H20" s="23"/>
      <c r="I20" s="23"/>
      <c r="J20" s="23"/>
    </row>
    <row r="21" spans="8:10" x14ac:dyDescent="0.2">
      <c r="H21" s="23"/>
      <c r="I21" s="23"/>
      <c r="J21" s="23"/>
    </row>
    <row r="22" spans="8:10" x14ac:dyDescent="0.2">
      <c r="H22" s="23"/>
      <c r="I22" s="23"/>
      <c r="J22" s="23"/>
    </row>
    <row r="23" spans="8:10" x14ac:dyDescent="0.2">
      <c r="H23" s="23"/>
      <c r="I23" s="23"/>
      <c r="J23" s="23"/>
    </row>
    <row r="24" spans="8:10" x14ac:dyDescent="0.2">
      <c r="H24" s="23"/>
      <c r="I24" s="23"/>
      <c r="J24" s="23"/>
    </row>
    <row r="25" spans="8:10" x14ac:dyDescent="0.2">
      <c r="H25" s="23"/>
      <c r="I25" s="23"/>
      <c r="J25" s="23"/>
    </row>
    <row r="26" spans="8:10" x14ac:dyDescent="0.2">
      <c r="H26" s="23"/>
      <c r="I26" s="23"/>
      <c r="J26" s="23"/>
    </row>
    <row r="27" spans="8:10" x14ac:dyDescent="0.2">
      <c r="H27" s="23"/>
      <c r="I27" s="23"/>
      <c r="J27" s="23"/>
    </row>
    <row r="28" spans="8:10" x14ac:dyDescent="0.2">
      <c r="H28" s="23"/>
      <c r="I28" s="23"/>
      <c r="J28" s="23"/>
    </row>
    <row r="29" spans="8:10" x14ac:dyDescent="0.2">
      <c r="H29" s="23"/>
      <c r="I29" s="23"/>
      <c r="J29" s="23"/>
    </row>
    <row r="30" spans="8:10" x14ac:dyDescent="0.2">
      <c r="H30" s="23"/>
      <c r="I30" s="23"/>
      <c r="J30" s="23"/>
    </row>
    <row r="31" spans="8:10" x14ac:dyDescent="0.2">
      <c r="H31" s="23"/>
      <c r="I31" s="23"/>
      <c r="J31" s="23"/>
    </row>
    <row r="32" spans="8:10" x14ac:dyDescent="0.2">
      <c r="H32" s="23"/>
      <c r="I32" s="23"/>
      <c r="J32" s="23"/>
    </row>
    <row r="33" spans="8:10" x14ac:dyDescent="0.2">
      <c r="H33" s="23"/>
      <c r="I33" s="23"/>
      <c r="J33" s="23"/>
    </row>
    <row r="34" spans="8:10" x14ac:dyDescent="0.2">
      <c r="H34" s="23"/>
      <c r="I34" s="23"/>
      <c r="J34" s="23"/>
    </row>
    <row r="35" spans="8:10" x14ac:dyDescent="0.2">
      <c r="H35" s="23"/>
      <c r="I35" s="23"/>
      <c r="J35" s="23"/>
    </row>
    <row r="36" spans="8:10" x14ac:dyDescent="0.2">
      <c r="H36" s="23"/>
      <c r="I36" s="23"/>
      <c r="J36" s="23"/>
    </row>
    <row r="37" spans="8:10" x14ac:dyDescent="0.2">
      <c r="H37" s="23"/>
      <c r="I37" s="23"/>
      <c r="J37" s="23"/>
    </row>
    <row r="38" spans="8:10" x14ac:dyDescent="0.2">
      <c r="H38" s="23"/>
      <c r="I38" s="23"/>
      <c r="J38" s="23"/>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A24-477A-4C58-9E11-F0C82647669A}">
  <dimension ref="A1:F25"/>
  <sheetViews>
    <sheetView rightToLeft="1" workbookViewId="0">
      <pane xSplit="4" ySplit="7" topLeftCell="E8" activePane="bottomRight" state="frozen"/>
      <selection pane="topRight" activeCell="E1" sqref="E1"/>
      <selection pane="bottomLeft" activeCell="A8" sqref="A8"/>
      <selection pane="bottomRight" activeCell="C29" sqref="C29"/>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53</v>
      </c>
      <c r="F2"/>
    </row>
    <row r="3" spans="1:6" s="3" customFormat="1" ht="15.75" x14ac:dyDescent="0.25">
      <c r="C3" s="20" t="s">
        <v>1</v>
      </c>
      <c r="D3" s="5"/>
      <c r="F3"/>
    </row>
    <row r="4" spans="1:6" s="3" customFormat="1" ht="15.75" x14ac:dyDescent="0.25">
      <c r="C4" s="6" t="s">
        <v>27</v>
      </c>
      <c r="D4" s="7"/>
      <c r="F4"/>
    </row>
    <row r="5" spans="1:6" s="3" customFormat="1" ht="15" x14ac:dyDescent="0.25">
      <c r="C5" s="8"/>
      <c r="D5" s="9"/>
      <c r="F5"/>
    </row>
    <row r="6" spans="1:6" s="3" customFormat="1" ht="15.75" thickBot="1" x14ac:dyDescent="0.3">
      <c r="C6" s="10" t="s">
        <v>54</v>
      </c>
      <c r="D6" s="11"/>
      <c r="F6"/>
    </row>
    <row r="7" spans="1:6" ht="28.5" x14ac:dyDescent="0.2">
      <c r="A7" s="12" t="s">
        <v>2</v>
      </c>
      <c r="B7" s="12" t="s">
        <v>3</v>
      </c>
      <c r="C7" s="12" t="s">
        <v>4</v>
      </c>
      <c r="D7" s="13" t="s">
        <v>5</v>
      </c>
    </row>
    <row r="8" spans="1:6" s="17" customFormat="1" ht="15" x14ac:dyDescent="0.25">
      <c r="A8" s="14">
        <v>1</v>
      </c>
      <c r="B8" s="15"/>
      <c r="C8" s="15" t="s">
        <v>82</v>
      </c>
      <c r="D8" s="16">
        <f>3600+700</f>
        <v>4300</v>
      </c>
    </row>
    <row r="9" spans="1:6" s="17" customFormat="1" ht="15" x14ac:dyDescent="0.25">
      <c r="A9" s="14">
        <v>2</v>
      </c>
      <c r="B9" s="15"/>
      <c r="C9" s="15" t="s">
        <v>77</v>
      </c>
      <c r="D9" s="16">
        <v>5850</v>
      </c>
    </row>
    <row r="10" spans="1:6" s="17" customFormat="1" ht="15" x14ac:dyDescent="0.25">
      <c r="A10" s="14">
        <v>3</v>
      </c>
      <c r="B10" s="15"/>
      <c r="C10" s="15" t="s">
        <v>78</v>
      </c>
      <c r="D10" s="16">
        <v>5850</v>
      </c>
    </row>
    <row r="11" spans="1:6" s="17" customFormat="1" ht="15" x14ac:dyDescent="0.25">
      <c r="A11" s="14">
        <v>4</v>
      </c>
      <c r="B11" s="15"/>
      <c r="C11" s="15" t="s">
        <v>85</v>
      </c>
      <c r="D11" s="28">
        <v>8159</v>
      </c>
    </row>
    <row r="12" spans="1:6" s="17" customFormat="1" ht="15" x14ac:dyDescent="0.25">
      <c r="A12" s="14">
        <v>5</v>
      </c>
      <c r="B12" s="15"/>
      <c r="C12" s="15" t="s">
        <v>58</v>
      </c>
      <c r="D12" s="16">
        <v>8500</v>
      </c>
    </row>
    <row r="13" spans="1:6" s="17" customFormat="1" ht="15.75" x14ac:dyDescent="0.25">
      <c r="A13" s="14">
        <v>6</v>
      </c>
      <c r="B13" s="15"/>
      <c r="C13" s="19" t="s">
        <v>75</v>
      </c>
      <c r="D13" s="21">
        <v>15480</v>
      </c>
    </row>
    <row r="14" spans="1:6" s="17" customFormat="1" ht="15" x14ac:dyDescent="0.25">
      <c r="A14" s="14">
        <v>7</v>
      </c>
      <c r="B14" s="27"/>
      <c r="C14" s="27" t="s">
        <v>84</v>
      </c>
      <c r="D14" s="28">
        <v>32974</v>
      </c>
    </row>
    <row r="15" spans="1:6" s="17" customFormat="1" ht="15" x14ac:dyDescent="0.25">
      <c r="A15" s="14">
        <v>8</v>
      </c>
      <c r="B15" s="15"/>
      <c r="C15" s="15" t="s">
        <v>80</v>
      </c>
      <c r="D15" s="16">
        <v>35000</v>
      </c>
    </row>
    <row r="16" spans="1:6" ht="15" x14ac:dyDescent="0.25">
      <c r="A16" s="14">
        <v>9</v>
      </c>
      <c r="B16" s="15"/>
      <c r="C16" s="15" t="s">
        <v>73</v>
      </c>
      <c r="D16" s="16">
        <v>37440</v>
      </c>
    </row>
    <row r="17" spans="1:4" ht="15" x14ac:dyDescent="0.25">
      <c r="A17" s="14">
        <v>10</v>
      </c>
      <c r="B17" s="27"/>
      <c r="C17" s="27" t="s">
        <v>86</v>
      </c>
      <c r="D17" s="28">
        <v>41640</v>
      </c>
    </row>
    <row r="18" spans="1:4" ht="15" x14ac:dyDescent="0.25">
      <c r="A18" s="14">
        <v>11</v>
      </c>
      <c r="B18" s="15"/>
      <c r="C18" s="15" t="s">
        <v>74</v>
      </c>
      <c r="D18" s="16">
        <v>84854</v>
      </c>
    </row>
    <row r="19" spans="1:4" ht="15" x14ac:dyDescent="0.25">
      <c r="A19" s="14">
        <v>12</v>
      </c>
      <c r="B19" s="15"/>
      <c r="C19" s="15" t="s">
        <v>79</v>
      </c>
      <c r="D19" s="16">
        <v>127806</v>
      </c>
    </row>
    <row r="20" spans="1:4" ht="15.75" x14ac:dyDescent="0.25">
      <c r="A20" s="14">
        <v>13</v>
      </c>
      <c r="B20" s="15"/>
      <c r="C20" s="15" t="s">
        <v>81</v>
      </c>
      <c r="D20" s="21" t="e">
        <f>106013+838+#REF!</f>
        <v>#REF!</v>
      </c>
    </row>
    <row r="21" spans="1:4" ht="15" x14ac:dyDescent="0.25">
      <c r="A21" s="14">
        <v>14</v>
      </c>
      <c r="B21" s="15"/>
      <c r="C21" s="15" t="s">
        <v>87</v>
      </c>
      <c r="D21" s="16">
        <v>497103.7</v>
      </c>
    </row>
    <row r="22" spans="1:4" ht="15" x14ac:dyDescent="0.25">
      <c r="A22" s="14">
        <v>15</v>
      </c>
      <c r="B22" s="27"/>
      <c r="C22" s="27" t="s">
        <v>83</v>
      </c>
      <c r="D22" s="28" t="e">
        <f>614360+#REF!</f>
        <v>#REF!</v>
      </c>
    </row>
    <row r="23" spans="1:4" ht="15" x14ac:dyDescent="0.25">
      <c r="A23" s="14">
        <v>16</v>
      </c>
      <c r="B23" s="15"/>
      <c r="C23" s="15" t="s">
        <v>76</v>
      </c>
      <c r="D23" s="16" t="e">
        <f>998887.5+#REF!</f>
        <v>#REF!</v>
      </c>
    </row>
    <row r="24" spans="1:4" ht="15" x14ac:dyDescent="0.25">
      <c r="A24" s="14">
        <v>17</v>
      </c>
      <c r="B24" s="15"/>
      <c r="C24" s="15" t="s">
        <v>88</v>
      </c>
      <c r="D24" s="16">
        <v>3514106.6999999997</v>
      </c>
    </row>
    <row r="25" spans="1:4" ht="15" x14ac:dyDescent="0.25">
      <c r="A25" s="14"/>
      <c r="B25" s="27"/>
      <c r="C25" s="27"/>
      <c r="D25" s="16" t="e">
        <f>SUBTOTAL(109,D4:D24)</f>
        <v>#REF!</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B5B8-6BE4-4D99-9AAA-3F9CD2A68649}">
  <dimension ref="A1:F23"/>
  <sheetViews>
    <sheetView rightToLeft="1" tabSelected="1" workbookViewId="0">
      <pane xSplit="4" ySplit="7" topLeftCell="E8" activePane="bottomRight" state="frozen"/>
      <selection pane="topRight" activeCell="E1" sqref="E1"/>
      <selection pane="bottomLeft" activeCell="A8" sqref="A8"/>
      <selection pane="bottomRight" activeCell="D17" sqref="D17"/>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141</v>
      </c>
      <c r="F2"/>
    </row>
    <row r="3" spans="1:6" s="3" customFormat="1" ht="15.75" x14ac:dyDescent="0.25">
      <c r="C3" s="20" t="s">
        <v>1</v>
      </c>
      <c r="D3" s="5"/>
      <c r="F3"/>
    </row>
    <row r="4" spans="1:6" s="3" customFormat="1" ht="15.75" x14ac:dyDescent="0.25">
      <c r="C4" s="6" t="s">
        <v>27</v>
      </c>
      <c r="D4" s="7"/>
      <c r="F4"/>
    </row>
    <row r="5" spans="1:6" s="3" customFormat="1" ht="15" x14ac:dyDescent="0.25">
      <c r="C5" s="8"/>
      <c r="D5" s="9"/>
      <c r="F5"/>
    </row>
    <row r="6" spans="1:6" s="3" customFormat="1" ht="15.75" thickBot="1" x14ac:dyDescent="0.3">
      <c r="C6" s="10" t="s">
        <v>142</v>
      </c>
      <c r="D6" s="11"/>
      <c r="F6"/>
    </row>
    <row r="7" spans="1:6" ht="28.5" x14ac:dyDescent="0.2">
      <c r="A7" s="12" t="s">
        <v>2</v>
      </c>
      <c r="B7" s="12" t="s">
        <v>3</v>
      </c>
      <c r="C7" s="12" t="s">
        <v>4</v>
      </c>
      <c r="D7" s="13" t="s">
        <v>5</v>
      </c>
    </row>
    <row r="8" spans="1:6" s="17" customFormat="1" ht="15" x14ac:dyDescent="0.25">
      <c r="A8" s="14">
        <v>1</v>
      </c>
      <c r="B8" s="27"/>
      <c r="C8" s="27" t="s">
        <v>153</v>
      </c>
      <c r="D8" s="28">
        <v>660</v>
      </c>
    </row>
    <row r="9" spans="1:6" s="17" customFormat="1" ht="15" x14ac:dyDescent="0.25">
      <c r="A9" s="14">
        <v>2</v>
      </c>
      <c r="B9" s="27"/>
      <c r="C9" s="27" t="s">
        <v>147</v>
      </c>
      <c r="D9" s="28">
        <v>5545.7999999999993</v>
      </c>
    </row>
    <row r="10" spans="1:6" s="17" customFormat="1" ht="15" x14ac:dyDescent="0.25">
      <c r="A10" s="14">
        <v>3</v>
      </c>
      <c r="B10" s="15"/>
      <c r="C10" s="15" t="s">
        <v>152</v>
      </c>
      <c r="D10" s="16">
        <v>5850</v>
      </c>
    </row>
    <row r="11" spans="1:6" s="17" customFormat="1" ht="15" x14ac:dyDescent="0.25">
      <c r="A11" s="14">
        <v>4</v>
      </c>
      <c r="B11" s="15"/>
      <c r="C11" s="15" t="s">
        <v>148</v>
      </c>
      <c r="D11" s="16">
        <v>6142.5</v>
      </c>
    </row>
    <row r="12" spans="1:6" s="17" customFormat="1" ht="15" x14ac:dyDescent="0.25">
      <c r="A12" s="14">
        <v>5</v>
      </c>
      <c r="B12" s="27"/>
      <c r="C12" s="27" t="s">
        <v>13</v>
      </c>
      <c r="D12" s="28">
        <v>7762</v>
      </c>
    </row>
    <row r="13" spans="1:6" s="17" customFormat="1" ht="15" x14ac:dyDescent="0.25">
      <c r="A13" s="14">
        <v>6</v>
      </c>
      <c r="B13" s="15"/>
      <c r="C13" s="15" t="s">
        <v>151</v>
      </c>
      <c r="D13" s="16">
        <v>10000</v>
      </c>
    </row>
    <row r="14" spans="1:6" s="17" customFormat="1" ht="15" x14ac:dyDescent="0.25">
      <c r="A14" s="14">
        <v>7</v>
      </c>
      <c r="B14" s="15"/>
      <c r="C14" s="15" t="s">
        <v>145</v>
      </c>
      <c r="D14" s="16">
        <f>'דוח תנועות'!N11</f>
        <v>16040.7</v>
      </c>
    </row>
    <row r="15" spans="1:6" s="17" customFormat="1" ht="15" x14ac:dyDescent="0.25">
      <c r="A15" s="14">
        <v>8</v>
      </c>
      <c r="B15" s="15"/>
      <c r="C15" s="19" t="s">
        <v>146</v>
      </c>
      <c r="D15" s="16">
        <v>33590.699999999997</v>
      </c>
    </row>
    <row r="16" spans="1:6" ht="15" x14ac:dyDescent="0.25">
      <c r="A16" s="14">
        <v>9</v>
      </c>
      <c r="B16" s="15"/>
      <c r="C16" s="15" t="s">
        <v>150</v>
      </c>
      <c r="D16" s="16">
        <v>41896.342799999991</v>
      </c>
    </row>
    <row r="17" spans="1:4" ht="15" x14ac:dyDescent="0.25">
      <c r="A17" s="14">
        <v>10</v>
      </c>
      <c r="B17" s="15"/>
      <c r="C17" s="15" t="s">
        <v>149</v>
      </c>
      <c r="D17" s="16">
        <v>117000</v>
      </c>
    </row>
    <row r="18" spans="1:4" ht="15" x14ac:dyDescent="0.25">
      <c r="A18" s="14">
        <v>11</v>
      </c>
      <c r="B18" s="15"/>
      <c r="C18" s="15" t="s">
        <v>154</v>
      </c>
      <c r="D18" s="16">
        <v>120620</v>
      </c>
    </row>
    <row r="19" spans="1:4" ht="15" x14ac:dyDescent="0.25">
      <c r="A19" s="14">
        <v>12</v>
      </c>
      <c r="B19" s="15"/>
      <c r="C19" s="15" t="s">
        <v>144</v>
      </c>
      <c r="D19" s="16">
        <v>685768.76</v>
      </c>
    </row>
    <row r="20" spans="1:4" ht="15" x14ac:dyDescent="0.25">
      <c r="A20" s="14">
        <v>13</v>
      </c>
      <c r="B20" s="15"/>
      <c r="C20" s="15" t="s">
        <v>156</v>
      </c>
      <c r="D20" s="28">
        <v>1256557.6000000001</v>
      </c>
    </row>
    <row r="21" spans="1:4" ht="15" x14ac:dyDescent="0.25">
      <c r="A21" s="14">
        <v>14</v>
      </c>
      <c r="B21" s="15"/>
      <c r="C21" s="15" t="s">
        <v>155</v>
      </c>
      <c r="D21" s="16">
        <v>1287000</v>
      </c>
    </row>
    <row r="22" spans="1:4" ht="15" x14ac:dyDescent="0.25">
      <c r="A22" s="14">
        <v>15</v>
      </c>
      <c r="B22" s="15"/>
      <c r="C22" s="15" t="s">
        <v>143</v>
      </c>
      <c r="D22" s="16">
        <f>'דוח תנועות'!N21</f>
        <v>2009299.5</v>
      </c>
    </row>
    <row r="23" spans="1:4" ht="15" x14ac:dyDescent="0.25">
      <c r="A23" s="14"/>
      <c r="B23" s="27"/>
      <c r="C23" s="27"/>
      <c r="D23" s="16">
        <f>SUBTOTAL(109,D4:D22)</f>
        <v>5603733.9028000003</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דוח תנועות</vt:lpstr>
      <vt:lpstr>דוח פניות לאוצר 2021</vt:lpstr>
      <vt:lpstr>מרץ</vt:lpstr>
      <vt:lpstr>אפריל</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2021-05-13T10:03:23Z</dcterms:modified>
  <cp:category/>
</cp:coreProperties>
</file>